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3500" windowHeight="13740" tabRatio="864"/>
  </bookViews>
  <sheets>
    <sheet name="Atos Serv. Jud. Lei. 6369" sheetId="1" r:id="rId1"/>
    <sheet name="Atos Sec. Trib. Lei. 6369" sheetId="2" r:id="rId2"/>
    <sheet name="Rec. Esp. e Ext." sheetId="3" r:id="rId3"/>
    <sheet name="GRERJ1" sheetId="4" r:id="rId4"/>
    <sheet name="GRERJ2" sheetId="5" r:id="rId5"/>
    <sheet name="GRERJ3" sheetId="6" r:id="rId6"/>
    <sheet name="GRERJ4" sheetId="7" r:id="rId7"/>
    <sheet name="GRERJ5" sheetId="8" r:id="rId8"/>
    <sheet name="GRERJFINAL" sheetId="9" r:id="rId9"/>
    <sheet name="Certidão" sheetId="10" r:id="rId10"/>
    <sheet name="Ato Ordinatório" sheetId="11" r:id="rId11"/>
    <sheet name="Plan1" sheetId="13" r:id="rId12"/>
  </sheets>
  <definedNames>
    <definedName name="_xlnm.Print_Area" localSheetId="10">'Ato Ordinatório'!$A$1:$C$271</definedName>
    <definedName name="_xlnm.Print_Area" localSheetId="0">'Atos Serv. Jud. Lei. 6369'!$A$1:$M$550</definedName>
    <definedName name="_xlnm.Print_Area" localSheetId="9">Certidão!$A$1:$R$377</definedName>
    <definedName name="_xlnm.Print_Area" localSheetId="4">GRERJ2!$A$1:$S$95</definedName>
    <definedName name="_xlnm.Print_Area" localSheetId="5">GRERJ3!$A$1:$S$96</definedName>
    <definedName name="_xlnm.Print_Area" localSheetId="6">GRERJ4!$A$1:$S$95</definedName>
    <definedName name="_xlnm.Print_Area" localSheetId="7">GRERJ5!$A$1:$S$95</definedName>
    <definedName name="_xlnm.Print_Area" localSheetId="8">GRERJFINAL!$A$1:$O$91</definedName>
    <definedName name="_xlnm.Print_Area" localSheetId="2">'Rec. Esp. e Ext.'!$A$1:$L$77</definedName>
    <definedName name="_xlnm.Print_Titles" localSheetId="3">GRERJ1!$1:$6</definedName>
    <definedName name="_xlnm.Print_Titles" localSheetId="4">GRERJ2!$1:$6</definedName>
    <definedName name="_xlnm.Print_Titles" localSheetId="5">GRERJ3!$1:$6</definedName>
    <definedName name="_xlnm.Print_Titles" localSheetId="6">GRERJ4!$1:$6</definedName>
    <definedName name="_xlnm.Print_Titles" localSheetId="7">GRERJ5!$1:$6</definedName>
    <definedName name="_xlnm.Print_Titles" localSheetId="8">GRERJFINAL!$1:$6</definedName>
    <definedName name="_xlnm.Print_Titles" localSheetId="2">'Rec. Esp. e Ext.'!$1:$10</definedName>
  </definedNames>
  <calcPr calcId="145621"/>
</workbook>
</file>

<file path=xl/calcChain.xml><?xml version="1.0" encoding="utf-8"?>
<calcChain xmlns="http://schemas.openxmlformats.org/spreadsheetml/2006/main">
  <c r="C245" i="10" l="1"/>
  <c r="B261" i="11" l="1"/>
  <c r="B228" i="11"/>
  <c r="B216" i="11"/>
  <c r="B183" i="11"/>
  <c r="B171" i="11"/>
  <c r="B138" i="11"/>
  <c r="B126" i="11"/>
  <c r="B93" i="11"/>
  <c r="B81" i="11"/>
  <c r="B48" i="11"/>
  <c r="B2" i="11"/>
  <c r="A375" i="10"/>
  <c r="A374" i="10"/>
  <c r="C371" i="10"/>
  <c r="B354" i="10"/>
  <c r="S353" i="10"/>
  <c r="B353" i="10" s="1"/>
  <c r="D353" i="10" s="1"/>
  <c r="H353" i="10" s="1"/>
  <c r="Q353" i="10" s="1"/>
  <c r="B352" i="10"/>
  <c r="L352" i="10" s="1"/>
  <c r="S351" i="10"/>
  <c r="B351" i="10" s="1"/>
  <c r="D351" i="10" s="1"/>
  <c r="B350" i="10"/>
  <c r="S349" i="10"/>
  <c r="B349" i="10" s="1"/>
  <c r="C349" i="10" s="1"/>
  <c r="B348" i="10"/>
  <c r="L348" i="10" s="1"/>
  <c r="S347" i="10"/>
  <c r="B347" i="10" s="1"/>
  <c r="D347" i="10" s="1"/>
  <c r="B342" i="10"/>
  <c r="H342" i="10" s="1"/>
  <c r="Q342" i="10" s="1"/>
  <c r="S341" i="10"/>
  <c r="B341" i="10" s="1"/>
  <c r="P332" i="10"/>
  <c r="B328" i="10"/>
  <c r="B323" i="10"/>
  <c r="A312" i="10"/>
  <c r="A311" i="10"/>
  <c r="C308" i="10"/>
  <c r="B291" i="10"/>
  <c r="H291" i="10" s="1"/>
  <c r="Q291" i="10" s="1"/>
  <c r="S290" i="10"/>
  <c r="B290" i="10" s="1"/>
  <c r="C290" i="10" s="1"/>
  <c r="B289" i="10"/>
  <c r="H289" i="10" s="1"/>
  <c r="Q289" i="10" s="1"/>
  <c r="S288" i="10"/>
  <c r="B288" i="10" s="1"/>
  <c r="C288" i="10" s="1"/>
  <c r="B287" i="10"/>
  <c r="S286" i="10"/>
  <c r="B286" i="10" s="1"/>
  <c r="B285" i="10"/>
  <c r="H285" i="10" s="1"/>
  <c r="Q285" i="10" s="1"/>
  <c r="S284" i="10"/>
  <c r="B284" i="10" s="1"/>
  <c r="C284" i="10" s="1"/>
  <c r="B279" i="10"/>
  <c r="H279" i="10" s="1"/>
  <c r="Q279" i="10" s="1"/>
  <c r="S278" i="10"/>
  <c r="B278" i="10" s="1"/>
  <c r="P269" i="10"/>
  <c r="B265" i="10"/>
  <c r="B260" i="10"/>
  <c r="A249" i="10"/>
  <c r="A248" i="10"/>
  <c r="B228" i="10"/>
  <c r="L228" i="10" s="1"/>
  <c r="S227" i="10"/>
  <c r="B227" i="10" s="1"/>
  <c r="D227" i="10" s="1"/>
  <c r="H227" i="10" s="1"/>
  <c r="Q227" i="10" s="1"/>
  <c r="B226" i="10"/>
  <c r="L226" i="10" s="1"/>
  <c r="S225" i="10"/>
  <c r="B225" i="10" s="1"/>
  <c r="D225" i="10" s="1"/>
  <c r="B224" i="10"/>
  <c r="L224" i="10" s="1"/>
  <c r="S223" i="10"/>
  <c r="B223" i="10" s="1"/>
  <c r="D223" i="10" s="1"/>
  <c r="H223" i="10" s="1"/>
  <c r="Q223" i="10" s="1"/>
  <c r="B222" i="10"/>
  <c r="L222" i="10" s="1"/>
  <c r="S221" i="10"/>
  <c r="B221" i="10" s="1"/>
  <c r="D221" i="10" s="1"/>
  <c r="B216" i="10"/>
  <c r="H216" i="10" s="1"/>
  <c r="Q216" i="10" s="1"/>
  <c r="S215" i="10"/>
  <c r="B215" i="10" s="1"/>
  <c r="P206" i="10"/>
  <c r="B202" i="10"/>
  <c r="B197" i="10"/>
  <c r="A186" i="10"/>
  <c r="A185" i="10"/>
  <c r="C182" i="10"/>
  <c r="B165" i="10"/>
  <c r="L165" i="10" s="1"/>
  <c r="S164" i="10"/>
  <c r="B164" i="10" s="1"/>
  <c r="D164" i="10" s="1"/>
  <c r="B163" i="10"/>
  <c r="S162" i="10"/>
  <c r="B162" i="10" s="1"/>
  <c r="C162" i="10" s="1"/>
  <c r="B161" i="10"/>
  <c r="L161" i="10" s="1"/>
  <c r="S160" i="10"/>
  <c r="B160" i="10" s="1"/>
  <c r="D160" i="10" s="1"/>
  <c r="B159" i="10"/>
  <c r="H159" i="10" s="1"/>
  <c r="Q159" i="10" s="1"/>
  <c r="S158" i="10"/>
  <c r="B158" i="10" s="1"/>
  <c r="C158" i="10" s="1"/>
  <c r="B153" i="10"/>
  <c r="H153" i="10" s="1"/>
  <c r="Q153" i="10" s="1"/>
  <c r="S152" i="10"/>
  <c r="B152" i="10" s="1"/>
  <c r="P143" i="10"/>
  <c r="B139" i="10"/>
  <c r="B134" i="10"/>
  <c r="A123" i="10"/>
  <c r="A122" i="10"/>
  <c r="C119" i="10"/>
  <c r="B102" i="10"/>
  <c r="D102" i="10" s="1"/>
  <c r="B74" i="11" s="1"/>
  <c r="S101" i="10"/>
  <c r="B101" i="10" s="1"/>
  <c r="B100" i="10"/>
  <c r="S99" i="10"/>
  <c r="B99" i="10" s="1"/>
  <c r="L99" i="10" s="1"/>
  <c r="B98" i="10"/>
  <c r="L98" i="10" s="1"/>
  <c r="S97" i="10"/>
  <c r="B97" i="10" s="1"/>
  <c r="B96" i="10"/>
  <c r="L96" i="10" s="1"/>
  <c r="S95" i="10"/>
  <c r="B95" i="10" s="1"/>
  <c r="B90" i="10"/>
  <c r="H90" i="10" s="1"/>
  <c r="Q90" i="10" s="1"/>
  <c r="S89" i="10"/>
  <c r="B89" i="10" s="1"/>
  <c r="P80" i="10"/>
  <c r="B76" i="10"/>
  <c r="B71" i="10"/>
  <c r="A60" i="10"/>
  <c r="A59" i="10"/>
  <c r="C57" i="10"/>
  <c r="B40" i="10"/>
  <c r="H40" i="10" s="1"/>
  <c r="Q40" i="10" s="1"/>
  <c r="S39" i="10"/>
  <c r="B39" i="10" s="1"/>
  <c r="L39" i="10" s="1"/>
  <c r="B38" i="10"/>
  <c r="L38" i="10" s="1"/>
  <c r="S37" i="10"/>
  <c r="B37" i="10" s="1"/>
  <c r="B36" i="10"/>
  <c r="H36" i="10" s="1"/>
  <c r="Q36" i="10" s="1"/>
  <c r="S35" i="10"/>
  <c r="B35" i="10" s="1"/>
  <c r="B34" i="10"/>
  <c r="D34" i="10" s="1"/>
  <c r="B23" i="11" s="1"/>
  <c r="S33" i="10"/>
  <c r="B33" i="10" s="1"/>
  <c r="M33" i="10" s="1"/>
  <c r="B28" i="10"/>
  <c r="H28" i="10" s="1"/>
  <c r="Q28" i="10" s="1"/>
  <c r="S27" i="10"/>
  <c r="B27" i="10" s="1"/>
  <c r="B14" i="10"/>
  <c r="B9" i="10"/>
  <c r="P39" i="9"/>
  <c r="G20" i="9"/>
  <c r="Q19" i="9"/>
  <c r="P19" i="9"/>
  <c r="I19" i="9"/>
  <c r="Q17" i="9"/>
  <c r="P17" i="9"/>
  <c r="I17" i="9"/>
  <c r="Q15" i="9"/>
  <c r="P15" i="9"/>
  <c r="I15" i="9"/>
  <c r="Q13" i="9"/>
  <c r="R13" i="9" s="1"/>
  <c r="P13" i="9"/>
  <c r="I13" i="9"/>
  <c r="Q11" i="9"/>
  <c r="P11" i="9"/>
  <c r="I11" i="9"/>
  <c r="P9" i="9"/>
  <c r="B329" i="10" s="1"/>
  <c r="I9" i="9"/>
  <c r="H94" i="8"/>
  <c r="H92" i="8"/>
  <c r="H90" i="8"/>
  <c r="H88" i="8"/>
  <c r="H86" i="8"/>
  <c r="U81" i="8" s="1"/>
  <c r="T81" i="8"/>
  <c r="V81" i="8" s="1"/>
  <c r="W79" i="8"/>
  <c r="V79" i="8"/>
  <c r="U79" i="8"/>
  <c r="F77" i="8"/>
  <c r="H75" i="8"/>
  <c r="H73" i="8"/>
  <c r="H71" i="8"/>
  <c r="H69" i="8"/>
  <c r="H67" i="8"/>
  <c r="H65" i="8"/>
  <c r="H63" i="8"/>
  <c r="H61" i="8"/>
  <c r="H59" i="8"/>
  <c r="H57" i="8"/>
  <c r="H55" i="8"/>
  <c r="H53" i="8"/>
  <c r="H51" i="8"/>
  <c r="H49" i="8"/>
  <c r="H47" i="8"/>
  <c r="H45" i="8"/>
  <c r="H43" i="8"/>
  <c r="I41" i="8"/>
  <c r="U45" i="8" s="1"/>
  <c r="H41" i="8"/>
  <c r="H39" i="8"/>
  <c r="I37" i="8"/>
  <c r="H37" i="8"/>
  <c r="I35" i="8"/>
  <c r="H35" i="8"/>
  <c r="H32" i="8"/>
  <c r="H30" i="8"/>
  <c r="H28" i="8"/>
  <c r="H26" i="8"/>
  <c r="H24" i="8"/>
  <c r="H22" i="8"/>
  <c r="H20" i="8"/>
  <c r="W15" i="8"/>
  <c r="V15" i="8"/>
  <c r="V13" i="8"/>
  <c r="W13" i="8" s="1"/>
  <c r="W19" i="8" s="1"/>
  <c r="T13" i="8"/>
  <c r="V17" i="8" s="1"/>
  <c r="M13" i="8"/>
  <c r="J11" i="8"/>
  <c r="W9" i="8"/>
  <c r="V9" i="8" s="1"/>
  <c r="U9" i="8"/>
  <c r="G7" i="8"/>
  <c r="H94" i="7"/>
  <c r="H92" i="7"/>
  <c r="H90" i="7"/>
  <c r="H88" i="7"/>
  <c r="H86" i="7"/>
  <c r="U81" i="7"/>
  <c r="T81" i="7"/>
  <c r="W83" i="7" s="1"/>
  <c r="W79" i="7"/>
  <c r="V79" i="7" s="1"/>
  <c r="U79" i="7"/>
  <c r="F77" i="7"/>
  <c r="H75" i="7"/>
  <c r="H73" i="7"/>
  <c r="H71" i="7"/>
  <c r="H69" i="7"/>
  <c r="H67" i="7"/>
  <c r="H65" i="7"/>
  <c r="H63" i="7"/>
  <c r="H61" i="7"/>
  <c r="H59" i="7"/>
  <c r="H57" i="7"/>
  <c r="H55" i="7"/>
  <c r="H53" i="7"/>
  <c r="H51" i="7"/>
  <c r="H49" i="7"/>
  <c r="H47" i="7"/>
  <c r="H45" i="7"/>
  <c r="H43" i="7"/>
  <c r="I41" i="7"/>
  <c r="U45" i="7" s="1"/>
  <c r="H41" i="7"/>
  <c r="H39" i="7"/>
  <c r="I37" i="7"/>
  <c r="H37" i="7"/>
  <c r="I35" i="7"/>
  <c r="H35" i="7"/>
  <c r="H32" i="7"/>
  <c r="H30" i="7"/>
  <c r="H28" i="7"/>
  <c r="H26" i="7"/>
  <c r="H24" i="7"/>
  <c r="H22" i="7"/>
  <c r="H20" i="7"/>
  <c r="T13" i="7"/>
  <c r="W15" i="7" s="1"/>
  <c r="W9" i="7"/>
  <c r="V9" i="7" s="1"/>
  <c r="U9" i="7"/>
  <c r="J11" i="7" s="1"/>
  <c r="G7" i="7"/>
  <c r="H94" i="6"/>
  <c r="H92" i="6"/>
  <c r="H90" i="6"/>
  <c r="H88" i="6"/>
  <c r="H86" i="6"/>
  <c r="U81" i="6" s="1"/>
  <c r="T81" i="6"/>
  <c r="W83" i="6" s="1"/>
  <c r="M81" i="6"/>
  <c r="W79" i="6"/>
  <c r="V79" i="6" s="1"/>
  <c r="U79" i="6"/>
  <c r="F77" i="6"/>
  <c r="H75" i="6"/>
  <c r="H73" i="6"/>
  <c r="H71" i="6"/>
  <c r="H69" i="6"/>
  <c r="H67" i="6"/>
  <c r="H65" i="6"/>
  <c r="H63" i="6"/>
  <c r="H61" i="6"/>
  <c r="H59" i="6"/>
  <c r="H57" i="6"/>
  <c r="H55" i="6"/>
  <c r="H53" i="6"/>
  <c r="H51" i="6"/>
  <c r="H49" i="6"/>
  <c r="H47" i="6"/>
  <c r="H45" i="6"/>
  <c r="H43" i="6"/>
  <c r="I41" i="6"/>
  <c r="U45" i="6" s="1"/>
  <c r="H41" i="6"/>
  <c r="H39" i="6"/>
  <c r="I37" i="6"/>
  <c r="H37" i="6"/>
  <c r="I35" i="6"/>
  <c r="H35" i="6"/>
  <c r="H32" i="6"/>
  <c r="H30" i="6"/>
  <c r="H28" i="6"/>
  <c r="H26" i="6"/>
  <c r="H24" i="6"/>
  <c r="U17" i="6" s="1"/>
  <c r="H22" i="6"/>
  <c r="H20" i="6"/>
  <c r="T13" i="6"/>
  <c r="W15" i="6" s="1"/>
  <c r="W9" i="6"/>
  <c r="V9" i="6" s="1"/>
  <c r="U9" i="6"/>
  <c r="J11" i="6" s="1"/>
  <c r="G7" i="6"/>
  <c r="H94" i="5"/>
  <c r="H92" i="5"/>
  <c r="H90" i="5"/>
  <c r="H88" i="5"/>
  <c r="H86" i="5"/>
  <c r="V81" i="5"/>
  <c r="W81" i="5" s="1"/>
  <c r="U81" i="5"/>
  <c r="T81" i="5"/>
  <c r="M81" i="5" s="1"/>
  <c r="W79" i="5"/>
  <c r="V79" i="5"/>
  <c r="U79" i="5"/>
  <c r="F77" i="5"/>
  <c r="H75" i="5"/>
  <c r="H73" i="5"/>
  <c r="H71" i="5"/>
  <c r="H69" i="5"/>
  <c r="H67" i="5"/>
  <c r="H65" i="5"/>
  <c r="H63" i="5"/>
  <c r="H61" i="5"/>
  <c r="H59" i="5"/>
  <c r="H57" i="5"/>
  <c r="H55" i="5"/>
  <c r="H53" i="5"/>
  <c r="H51" i="5"/>
  <c r="H49" i="5"/>
  <c r="H47" i="5"/>
  <c r="H45" i="5"/>
  <c r="H43" i="5"/>
  <c r="I41" i="5"/>
  <c r="U45" i="5" s="1"/>
  <c r="H41" i="5"/>
  <c r="H39" i="5"/>
  <c r="I37" i="5"/>
  <c r="H37" i="5"/>
  <c r="I35" i="5"/>
  <c r="H35" i="5"/>
  <c r="H32" i="5"/>
  <c r="H30" i="5"/>
  <c r="H28" i="5"/>
  <c r="H26" i="5"/>
  <c r="H24" i="5"/>
  <c r="H22" i="5"/>
  <c r="H20" i="5"/>
  <c r="U13" i="5" s="1"/>
  <c r="T13" i="5"/>
  <c r="W15" i="5" s="1"/>
  <c r="M13" i="5"/>
  <c r="W9" i="5"/>
  <c r="V9" i="5" s="1"/>
  <c r="U9" i="5"/>
  <c r="J11" i="5" s="1"/>
  <c r="G7" i="5"/>
  <c r="H94" i="4"/>
  <c r="H92" i="4"/>
  <c r="H90" i="4"/>
  <c r="H88" i="4"/>
  <c r="H86" i="4"/>
  <c r="D82" i="9" s="1"/>
  <c r="T81" i="4"/>
  <c r="W83" i="4" s="1"/>
  <c r="W79" i="4"/>
  <c r="V79" i="4" s="1"/>
  <c r="U79" i="4"/>
  <c r="F77" i="4"/>
  <c r="H75" i="4"/>
  <c r="H73" i="4"/>
  <c r="H71" i="4"/>
  <c r="H69" i="4"/>
  <c r="H67" i="4"/>
  <c r="H65" i="4"/>
  <c r="H63" i="4"/>
  <c r="H61" i="4"/>
  <c r="H59" i="4"/>
  <c r="H57" i="4"/>
  <c r="H55" i="4"/>
  <c r="H53" i="4"/>
  <c r="H51" i="4"/>
  <c r="H49" i="4"/>
  <c r="H47" i="4"/>
  <c r="H45" i="4"/>
  <c r="H43" i="4"/>
  <c r="I41" i="4"/>
  <c r="H41" i="4"/>
  <c r="H39" i="4"/>
  <c r="I37" i="4"/>
  <c r="H37" i="4"/>
  <c r="I35" i="4"/>
  <c r="H35" i="4"/>
  <c r="H32" i="4"/>
  <c r="H30" i="4"/>
  <c r="H28" i="4"/>
  <c r="H26" i="4"/>
  <c r="H24" i="4"/>
  <c r="H22" i="4"/>
  <c r="H20" i="4"/>
  <c r="T13" i="4"/>
  <c r="V15" i="4" s="1"/>
  <c r="W9" i="4"/>
  <c r="V9" i="4"/>
  <c r="U9" i="4"/>
  <c r="J11" i="4" s="1"/>
  <c r="G7" i="4"/>
  <c r="J71" i="3"/>
  <c r="J69" i="3"/>
  <c r="J67" i="3"/>
  <c r="J65" i="3"/>
  <c r="J63" i="3"/>
  <c r="J61" i="3"/>
  <c r="J59" i="3"/>
  <c r="J57" i="3"/>
  <c r="J55" i="3"/>
  <c r="J53" i="3"/>
  <c r="J51" i="3"/>
  <c r="J49" i="3"/>
  <c r="J47" i="3"/>
  <c r="J45" i="3"/>
  <c r="J43" i="3"/>
  <c r="J41" i="3"/>
  <c r="J39" i="3"/>
  <c r="J37" i="3"/>
  <c r="J35" i="3"/>
  <c r="J33" i="3"/>
  <c r="J31" i="3"/>
  <c r="J29" i="3"/>
  <c r="J27" i="3"/>
  <c r="J25" i="3"/>
  <c r="D25" i="3"/>
  <c r="J23" i="3"/>
  <c r="D23" i="3"/>
  <c r="J21" i="3"/>
  <c r="D21" i="3"/>
  <c r="J19" i="3"/>
  <c r="D19" i="3"/>
  <c r="J17" i="3"/>
  <c r="D17" i="3"/>
  <c r="J15" i="3"/>
  <c r="D15" i="3"/>
  <c r="M13" i="3"/>
  <c r="H8" i="3" s="1"/>
  <c r="J13" i="3"/>
  <c r="D13" i="3"/>
  <c r="M11" i="3"/>
  <c r="B8" i="3" s="1"/>
  <c r="J11" i="3"/>
  <c r="D11" i="3"/>
  <c r="O532" i="1"/>
  <c r="P532" i="1" s="1"/>
  <c r="O518" i="1"/>
  <c r="O516" i="1"/>
  <c r="P514" i="1"/>
  <c r="O514" i="1"/>
  <c r="G514" i="1" s="1"/>
  <c r="O508" i="1"/>
  <c r="P508" i="1" s="1"/>
  <c r="O494" i="1"/>
  <c r="O492" i="1"/>
  <c r="P490" i="1"/>
  <c r="O490" i="1"/>
  <c r="G490" i="1"/>
  <c r="O484" i="1"/>
  <c r="P484" i="1" s="1"/>
  <c r="O470" i="1"/>
  <c r="O468" i="1"/>
  <c r="G466" i="1" s="1"/>
  <c r="P466" i="1"/>
  <c r="O466" i="1"/>
  <c r="P460" i="1"/>
  <c r="O460" i="1"/>
  <c r="O446" i="1"/>
  <c r="O444" i="1"/>
  <c r="G442" i="1" s="1"/>
  <c r="P442" i="1"/>
  <c r="O442" i="1"/>
  <c r="O436" i="1"/>
  <c r="P436" i="1" s="1"/>
  <c r="O422" i="1"/>
  <c r="O420" i="1"/>
  <c r="P418" i="1"/>
  <c r="O418" i="1"/>
  <c r="G418" i="1" s="1"/>
  <c r="O388" i="1"/>
  <c r="O385" i="1"/>
  <c r="P383" i="1"/>
  <c r="O383" i="1"/>
  <c r="O367" i="1"/>
  <c r="G367" i="1"/>
  <c r="H357" i="1"/>
  <c r="O353" i="1"/>
  <c r="Q342" i="1"/>
  <c r="P342" i="1"/>
  <c r="O342" i="1"/>
  <c r="Q340" i="1"/>
  <c r="P340" i="1"/>
  <c r="O340" i="1"/>
  <c r="H355" i="1" s="1"/>
  <c r="Q338" i="1"/>
  <c r="P338" i="1"/>
  <c r="O338" i="1"/>
  <c r="F318" i="1"/>
  <c r="F316" i="1"/>
  <c r="F314" i="1"/>
  <c r="O299" i="1" s="1"/>
  <c r="F304" i="1"/>
  <c r="F301" i="1"/>
  <c r="O295" i="1"/>
  <c r="C39" i="9" s="1"/>
  <c r="P41" i="9" s="1"/>
  <c r="P43" i="9" s="1"/>
  <c r="F290" i="1"/>
  <c r="G288" i="1"/>
  <c r="F288" i="1"/>
  <c r="F286" i="1"/>
  <c r="F281" i="1"/>
  <c r="G279" i="1"/>
  <c r="O271" i="1"/>
  <c r="G271" i="1" s="1"/>
  <c r="G273" i="1" s="1"/>
  <c r="F284" i="1" s="1"/>
  <c r="O265" i="1"/>
  <c r="O262" i="1"/>
  <c r="O261" i="1"/>
  <c r="O257" i="1"/>
  <c r="O255" i="1"/>
  <c r="O259" i="1" s="1"/>
  <c r="P259" i="1" s="1"/>
  <c r="E255" i="1"/>
  <c r="E205" i="1"/>
  <c r="G115" i="1"/>
  <c r="G99" i="1"/>
  <c r="G91" i="1"/>
  <c r="G81" i="1"/>
  <c r="G18" i="1"/>
  <c r="G16" i="1"/>
  <c r="G14" i="1"/>
  <c r="O4" i="1"/>
  <c r="Q4" i="1" s="1"/>
  <c r="F99" i="1" l="1"/>
  <c r="B7" i="1"/>
  <c r="B338" i="10"/>
  <c r="H338" i="10" s="1"/>
  <c r="Q338" i="10" s="1"/>
  <c r="C212" i="10"/>
  <c r="B149" i="10"/>
  <c r="M149" i="10" s="1"/>
  <c r="C25" i="10"/>
  <c r="B37" i="9"/>
  <c r="C276" i="10"/>
  <c r="B212" i="10"/>
  <c r="H212" i="10" s="1"/>
  <c r="Q212" i="10" s="1"/>
  <c r="C87" i="10"/>
  <c r="C24" i="10"/>
  <c r="G299" i="1"/>
  <c r="C339" i="10"/>
  <c r="C275" i="10"/>
  <c r="C150" i="10"/>
  <c r="C86" i="10"/>
  <c r="B24" i="10"/>
  <c r="L24" i="10" s="1"/>
  <c r="C338" i="10"/>
  <c r="B275" i="10"/>
  <c r="L275" i="10" s="1"/>
  <c r="C213" i="10"/>
  <c r="C149" i="10"/>
  <c r="B86" i="10"/>
  <c r="M86" i="10" s="1"/>
  <c r="C37" i="9"/>
  <c r="U81" i="4"/>
  <c r="R11" i="9"/>
  <c r="R19" i="9"/>
  <c r="V81" i="4"/>
  <c r="W81" i="4" s="1"/>
  <c r="W84" i="4" s="1"/>
  <c r="U17" i="5"/>
  <c r="V84" i="5"/>
  <c r="R17" i="9"/>
  <c r="M81" i="4"/>
  <c r="V17" i="5"/>
  <c r="U17" i="8"/>
  <c r="R15" i="9"/>
  <c r="B25" i="10"/>
  <c r="D25" i="10" s="1"/>
  <c r="B14" i="11" s="1"/>
  <c r="B87" i="10"/>
  <c r="H87" i="10" s="1"/>
  <c r="Q87" i="10" s="1"/>
  <c r="B150" i="10"/>
  <c r="H150" i="10" s="1"/>
  <c r="Q150" i="10" s="1"/>
  <c r="B213" i="10"/>
  <c r="H213" i="10" s="1"/>
  <c r="Q213" i="10" s="1"/>
  <c r="B276" i="10"/>
  <c r="H276" i="10" s="1"/>
  <c r="Q276" i="10" s="1"/>
  <c r="B339" i="10"/>
  <c r="H339" i="10" s="1"/>
  <c r="Q339" i="10" s="1"/>
  <c r="V84" i="8"/>
  <c r="W81" i="8"/>
  <c r="W83" i="8"/>
  <c r="M81" i="8"/>
  <c r="V19" i="8"/>
  <c r="V81" i="7"/>
  <c r="V84" i="7" s="1"/>
  <c r="U13" i="7"/>
  <c r="D26" i="9"/>
  <c r="L333" i="10" s="1"/>
  <c r="U13" i="6"/>
  <c r="D84" i="9"/>
  <c r="L365" i="10" s="1"/>
  <c r="D90" i="9"/>
  <c r="V13" i="6"/>
  <c r="W13" i="6" s="1"/>
  <c r="W19" i="6" s="1"/>
  <c r="V15" i="5"/>
  <c r="V13" i="5"/>
  <c r="W83" i="5"/>
  <c r="W84" i="5" s="1"/>
  <c r="D30" i="9"/>
  <c r="L272" i="10" s="1"/>
  <c r="D49" i="9"/>
  <c r="L218" i="10" s="1"/>
  <c r="D57" i="9"/>
  <c r="D65" i="9"/>
  <c r="D73" i="9"/>
  <c r="L356" i="10" s="1"/>
  <c r="D86" i="9"/>
  <c r="D88" i="9"/>
  <c r="I88" i="9" s="1"/>
  <c r="W15" i="4"/>
  <c r="V17" i="4"/>
  <c r="D45" i="9"/>
  <c r="L342" i="10" s="1"/>
  <c r="D35" i="9"/>
  <c r="L337" i="10" s="1"/>
  <c r="D53" i="9"/>
  <c r="D61" i="9"/>
  <c r="D69" i="9"/>
  <c r="D77" i="9"/>
  <c r="L358" i="10" s="1"/>
  <c r="V13" i="4"/>
  <c r="W13" i="4" s="1"/>
  <c r="M13" i="4"/>
  <c r="U41" i="4"/>
  <c r="D28" i="9"/>
  <c r="L145" i="10" s="1"/>
  <c r="D37" i="9"/>
  <c r="D47" i="9"/>
  <c r="D41" i="9"/>
  <c r="D55" i="9"/>
  <c r="D63" i="9"/>
  <c r="D71" i="9"/>
  <c r="L103" i="10" s="1"/>
  <c r="H275" i="10"/>
  <c r="Q275" i="10" s="1"/>
  <c r="L338" i="10"/>
  <c r="D288" i="10"/>
  <c r="H288" i="10" s="1"/>
  <c r="Q288" i="10" s="1"/>
  <c r="D284" i="10"/>
  <c r="H284" i="10" s="1"/>
  <c r="Q284" i="10" s="1"/>
  <c r="C225" i="10"/>
  <c r="L289" i="10"/>
  <c r="H38" i="10"/>
  <c r="Q38" i="10" s="1"/>
  <c r="L285" i="10"/>
  <c r="U41" i="6"/>
  <c r="D86" i="10"/>
  <c r="B58" i="11" s="1"/>
  <c r="D216" i="10"/>
  <c r="B152" i="11" s="1"/>
  <c r="L36" i="10"/>
  <c r="H86" i="10"/>
  <c r="Q86" i="10" s="1"/>
  <c r="D149" i="10"/>
  <c r="B103" i="11" s="1"/>
  <c r="C221" i="10"/>
  <c r="C216" i="10"/>
  <c r="D349" i="10"/>
  <c r="H349" i="10" s="1"/>
  <c r="Q349" i="10" s="1"/>
  <c r="L97" i="10"/>
  <c r="M97" i="10"/>
  <c r="D97" i="10"/>
  <c r="H97" i="10" s="1"/>
  <c r="Q97" i="10" s="1"/>
  <c r="C97" i="10"/>
  <c r="C37" i="10"/>
  <c r="M37" i="10"/>
  <c r="L37" i="10"/>
  <c r="M35" i="10"/>
  <c r="C35" i="10"/>
  <c r="L35" i="10"/>
  <c r="D96" i="10"/>
  <c r="B68" i="11" s="1"/>
  <c r="D24" i="10"/>
  <c r="B13" i="11" s="1"/>
  <c r="C36" i="10"/>
  <c r="C38" i="10"/>
  <c r="D90" i="10"/>
  <c r="B62" i="11" s="1"/>
  <c r="H96" i="10"/>
  <c r="Q96" i="10" s="1"/>
  <c r="D98" i="10"/>
  <c r="B70" i="11" s="1"/>
  <c r="D99" i="10"/>
  <c r="H99" i="10" s="1"/>
  <c r="Q99" i="10" s="1"/>
  <c r="C153" i="10"/>
  <c r="C160" i="10"/>
  <c r="H161" i="10"/>
  <c r="Q161" i="10" s="1"/>
  <c r="C164" i="10"/>
  <c r="H165" i="10"/>
  <c r="Q165" i="10" s="1"/>
  <c r="D213" i="10"/>
  <c r="B149" i="11" s="1"/>
  <c r="C279" i="10"/>
  <c r="D342" i="10"/>
  <c r="B242" i="11" s="1"/>
  <c r="M38" i="10"/>
  <c r="O38" i="10" s="1"/>
  <c r="C90" i="10"/>
  <c r="C99" i="10"/>
  <c r="C342" i="10"/>
  <c r="U41" i="8"/>
  <c r="U47" i="8"/>
  <c r="M24" i="10"/>
  <c r="D36" i="10"/>
  <c r="B25" i="11" s="1"/>
  <c r="D38" i="10"/>
  <c r="B27" i="11" s="1"/>
  <c r="H98" i="10"/>
  <c r="Q98" i="10" s="1"/>
  <c r="L102" i="10"/>
  <c r="D153" i="10"/>
  <c r="B107" i="11" s="1"/>
  <c r="M213" i="10"/>
  <c r="D279" i="10"/>
  <c r="B197" i="11" s="1"/>
  <c r="C353" i="10"/>
  <c r="B253" i="11" s="1"/>
  <c r="U47" i="4"/>
  <c r="Q43" i="9" s="1"/>
  <c r="U41" i="5"/>
  <c r="U47" i="5"/>
  <c r="O24" i="10"/>
  <c r="L101" i="10"/>
  <c r="M101" i="10"/>
  <c r="D101" i="10"/>
  <c r="H101" i="10" s="1"/>
  <c r="Q101" i="10" s="1"/>
  <c r="C101" i="10"/>
  <c r="L95" i="10"/>
  <c r="D95" i="10"/>
  <c r="H95" i="10" s="1"/>
  <c r="Q95" i="10" s="1"/>
  <c r="M95" i="10"/>
  <c r="C95" i="10"/>
  <c r="M34" i="10"/>
  <c r="M100" i="10"/>
  <c r="C100" i="10"/>
  <c r="L286" i="10"/>
  <c r="M286" i="10"/>
  <c r="M350" i="10"/>
  <c r="C350" i="10"/>
  <c r="D350" i="10"/>
  <c r="B250" i="11" s="1"/>
  <c r="M354" i="10"/>
  <c r="C354" i="10"/>
  <c r="D354" i="10"/>
  <c r="B254" i="11" s="1"/>
  <c r="C34" i="10"/>
  <c r="M163" i="10"/>
  <c r="C163" i="10"/>
  <c r="D163" i="10"/>
  <c r="B117" i="11" s="1"/>
  <c r="H222" i="10"/>
  <c r="Q222" i="10" s="1"/>
  <c r="L227" i="10"/>
  <c r="M227" i="10"/>
  <c r="M287" i="10"/>
  <c r="C287" i="10"/>
  <c r="D287" i="10"/>
  <c r="B205" i="11" s="1"/>
  <c r="L351" i="10"/>
  <c r="M351" i="10"/>
  <c r="U45" i="4"/>
  <c r="H24" i="10"/>
  <c r="Q24" i="10" s="1"/>
  <c r="C28" i="10"/>
  <c r="L33" i="10"/>
  <c r="O33" i="10" s="1"/>
  <c r="H34" i="10"/>
  <c r="Q34" i="10" s="1"/>
  <c r="M36" i="10"/>
  <c r="M39" i="10"/>
  <c r="O39" i="10" s="1"/>
  <c r="L86" i="10"/>
  <c r="O86" i="10" s="1"/>
  <c r="L87" i="10"/>
  <c r="M96" i="10"/>
  <c r="O96" i="10" s="1"/>
  <c r="C96" i="10"/>
  <c r="M99" i="10"/>
  <c r="O99" i="10" s="1"/>
  <c r="H100" i="10"/>
  <c r="Q100" i="10" s="1"/>
  <c r="H149" i="10"/>
  <c r="Q149" i="10" s="1"/>
  <c r="L160" i="10"/>
  <c r="M160" i="10"/>
  <c r="H163" i="10"/>
  <c r="Q163" i="10" s="1"/>
  <c r="L164" i="10"/>
  <c r="M164" i="10"/>
  <c r="M224" i="10"/>
  <c r="O224" i="10" s="1"/>
  <c r="C224" i="10"/>
  <c r="D224" i="10"/>
  <c r="B160" i="11" s="1"/>
  <c r="M228" i="10"/>
  <c r="O228" i="10" s="1"/>
  <c r="C228" i="10"/>
  <c r="D228" i="10"/>
  <c r="B164" i="11" s="1"/>
  <c r="L284" i="10"/>
  <c r="M284" i="10"/>
  <c r="C286" i="10"/>
  <c r="H287" i="10"/>
  <c r="Q287" i="10" s="1"/>
  <c r="L288" i="10"/>
  <c r="M288" i="10"/>
  <c r="M338" i="10"/>
  <c r="D338" i="10"/>
  <c r="B238" i="11" s="1"/>
  <c r="M348" i="10"/>
  <c r="C348" i="10"/>
  <c r="D348" i="10"/>
  <c r="B248" i="11" s="1"/>
  <c r="L350" i="10"/>
  <c r="M352" i="10"/>
  <c r="O352" i="10" s="1"/>
  <c r="C352" i="10"/>
  <c r="D352" i="10"/>
  <c r="B252" i="11" s="1"/>
  <c r="L354" i="10"/>
  <c r="M40" i="10"/>
  <c r="C40" i="10"/>
  <c r="L158" i="10"/>
  <c r="M158" i="10"/>
  <c r="L162" i="10"/>
  <c r="M162" i="10"/>
  <c r="M212" i="10"/>
  <c r="D212" i="10"/>
  <c r="B148" i="11" s="1"/>
  <c r="M222" i="10"/>
  <c r="O222" i="10" s="1"/>
  <c r="C222" i="10"/>
  <c r="D222" i="10"/>
  <c r="B158" i="11" s="1"/>
  <c r="M226" i="10"/>
  <c r="O226" i="10" s="1"/>
  <c r="C226" i="10"/>
  <c r="D226" i="10"/>
  <c r="B162" i="11" s="1"/>
  <c r="L290" i="10"/>
  <c r="M290" i="10"/>
  <c r="O348" i="10"/>
  <c r="C33" i="10"/>
  <c r="C39" i="10"/>
  <c r="D40" i="10"/>
  <c r="B29" i="11" s="1"/>
  <c r="D100" i="10"/>
  <c r="B72" i="11" s="1"/>
  <c r="M102" i="10"/>
  <c r="C102" i="10"/>
  <c r="M159" i="10"/>
  <c r="C159" i="10"/>
  <c r="D159" i="10"/>
  <c r="B113" i="11" s="1"/>
  <c r="L223" i="10"/>
  <c r="M223" i="10"/>
  <c r="H226" i="10"/>
  <c r="Q226" i="10" s="1"/>
  <c r="M291" i="10"/>
  <c r="C291" i="10"/>
  <c r="D291" i="10"/>
  <c r="B209" i="11" s="1"/>
  <c r="L347" i="10"/>
  <c r="M347" i="10"/>
  <c r="H350" i="10"/>
  <c r="Q350" i="10" s="1"/>
  <c r="H354" i="10"/>
  <c r="Q354" i="10" s="1"/>
  <c r="D28" i="10"/>
  <c r="B17" i="11" s="1"/>
  <c r="L34" i="10"/>
  <c r="L40" i="10"/>
  <c r="M98" i="10"/>
  <c r="O98" i="10" s="1"/>
  <c r="C98" i="10"/>
  <c r="L100" i="10"/>
  <c r="H102" i="10"/>
  <c r="Q102" i="10" s="1"/>
  <c r="L149" i="10"/>
  <c r="O149" i="10" s="1"/>
  <c r="D158" i="10"/>
  <c r="H158" i="10" s="1"/>
  <c r="Q158" i="10" s="1"/>
  <c r="L159" i="10"/>
  <c r="M161" i="10"/>
  <c r="O161" i="10" s="1"/>
  <c r="C161" i="10"/>
  <c r="D161" i="10"/>
  <c r="B115" i="11" s="1"/>
  <c r="D162" i="10"/>
  <c r="H162" i="10" s="1"/>
  <c r="Q162" i="10" s="1"/>
  <c r="L163" i="10"/>
  <c r="M165" i="10"/>
  <c r="O165" i="10" s="1"/>
  <c r="C165" i="10"/>
  <c r="D165" i="10"/>
  <c r="B119" i="11" s="1"/>
  <c r="L212" i="10"/>
  <c r="L221" i="10"/>
  <c r="M221" i="10"/>
  <c r="C223" i="10"/>
  <c r="B159" i="11" s="1"/>
  <c r="H224" i="10"/>
  <c r="Q224" i="10" s="1"/>
  <c r="L225" i="10"/>
  <c r="M225" i="10"/>
  <c r="C227" i="10"/>
  <c r="B163" i="11" s="1"/>
  <c r="H228" i="10"/>
  <c r="Q228" i="10" s="1"/>
  <c r="M275" i="10"/>
  <c r="O275" i="10" s="1"/>
  <c r="M285" i="10"/>
  <c r="C285" i="10"/>
  <c r="D285" i="10"/>
  <c r="B203" i="11" s="1"/>
  <c r="D286" i="10"/>
  <c r="H286" i="10" s="1"/>
  <c r="Q286" i="10" s="1"/>
  <c r="L287" i="10"/>
  <c r="M289" i="10"/>
  <c r="C289" i="10"/>
  <c r="D289" i="10"/>
  <c r="B207" i="11" s="1"/>
  <c r="D290" i="10"/>
  <c r="H290" i="10" s="1"/>
  <c r="Q290" i="10" s="1"/>
  <c r="L291" i="10"/>
  <c r="C347" i="10"/>
  <c r="H348" i="10"/>
  <c r="Q348" i="10" s="1"/>
  <c r="L349" i="10"/>
  <c r="M349" i="10"/>
  <c r="C351" i="10"/>
  <c r="H352" i="10"/>
  <c r="Q352" i="10" s="1"/>
  <c r="L353" i="10"/>
  <c r="M353" i="10"/>
  <c r="L213" i="10"/>
  <c r="O213" i="10" s="1"/>
  <c r="O77" i="10"/>
  <c r="D77" i="10"/>
  <c r="B49" i="11" s="1"/>
  <c r="D140" i="10"/>
  <c r="B94" i="11" s="1"/>
  <c r="B203" i="10"/>
  <c r="O266" i="10"/>
  <c r="O329" i="10"/>
  <c r="O15" i="10"/>
  <c r="B15" i="10" s="1"/>
  <c r="O140" i="10"/>
  <c r="E203" i="10"/>
  <c r="D266" i="10"/>
  <c r="B184" i="11" s="1"/>
  <c r="D329" i="10"/>
  <c r="B229" i="11" s="1"/>
  <c r="P18" i="10"/>
  <c r="B77" i="10"/>
  <c r="B140" i="10"/>
  <c r="O203" i="10"/>
  <c r="E266" i="10"/>
  <c r="E329" i="10"/>
  <c r="E77" i="10"/>
  <c r="E140" i="10"/>
  <c r="D203" i="10"/>
  <c r="B139" i="11" s="1"/>
  <c r="B266" i="10"/>
  <c r="U13" i="8"/>
  <c r="M81" i="7"/>
  <c r="V13" i="7"/>
  <c r="W13" i="7" s="1"/>
  <c r="U17" i="7"/>
  <c r="M13" i="7"/>
  <c r="V17" i="7"/>
  <c r="W19" i="7"/>
  <c r="D59" i="9"/>
  <c r="V15" i="7"/>
  <c r="U41" i="7"/>
  <c r="D33" i="9"/>
  <c r="L84" i="10" s="1"/>
  <c r="D39" i="9"/>
  <c r="D51" i="9"/>
  <c r="D67" i="9"/>
  <c r="D75" i="9"/>
  <c r="L294" i="10" s="1"/>
  <c r="U47" i="7"/>
  <c r="U47" i="6"/>
  <c r="M13" i="6"/>
  <c r="V17" i="6"/>
  <c r="V81" i="6"/>
  <c r="V15" i="6"/>
  <c r="L230" i="10"/>
  <c r="H160" i="10"/>
  <c r="Q160" i="10" s="1"/>
  <c r="H225" i="10"/>
  <c r="Q225" i="10" s="1"/>
  <c r="H347" i="10"/>
  <c r="Q347" i="10" s="1"/>
  <c r="H164" i="10"/>
  <c r="Q164" i="10" s="1"/>
  <c r="L344" i="10"/>
  <c r="H221" i="10"/>
  <c r="Q221" i="10" s="1"/>
  <c r="H351" i="10"/>
  <c r="Q351" i="10" s="1"/>
  <c r="L364" i="10"/>
  <c r="U17" i="4"/>
  <c r="U13" i="4"/>
  <c r="J73" i="3"/>
  <c r="D37" i="2" s="1"/>
  <c r="D27" i="3"/>
  <c r="D35" i="2" s="1"/>
  <c r="L112" i="10"/>
  <c r="L175" i="10"/>
  <c r="L238" i="10"/>
  <c r="L301" i="10"/>
  <c r="F147" i="1"/>
  <c r="F75" i="1"/>
  <c r="F232" i="1"/>
  <c r="F355" i="1"/>
  <c r="F32" i="1"/>
  <c r="F51" i="1"/>
  <c r="F83" i="1"/>
  <c r="F105" i="1"/>
  <c r="F129" i="1"/>
  <c r="F169" i="1"/>
  <c r="F251" i="1"/>
  <c r="F265" i="1"/>
  <c r="F322" i="1"/>
  <c r="D19" i="2"/>
  <c r="D12" i="2"/>
  <c r="F544" i="1"/>
  <c r="F539" i="1"/>
  <c r="F495" i="1"/>
  <c r="F492" i="1"/>
  <c r="F447" i="1"/>
  <c r="F444" i="1"/>
  <c r="F426" i="1"/>
  <c r="F417" i="1"/>
  <c r="F71" i="9" s="1"/>
  <c r="F407" i="1"/>
  <c r="F398" i="1"/>
  <c r="F393" i="1"/>
  <c r="F378" i="1"/>
  <c r="F380" i="1" s="1"/>
  <c r="F370" i="1"/>
  <c r="F361" i="1"/>
  <c r="F351" i="1"/>
  <c r="F303" i="1"/>
  <c r="F306" i="1" s="1"/>
  <c r="F280" i="1"/>
  <c r="F260" i="1"/>
  <c r="F253" i="1"/>
  <c r="F245" i="1"/>
  <c r="F234" i="1"/>
  <c r="F226" i="1"/>
  <c r="F199" i="1"/>
  <c r="F189" i="1"/>
  <c r="F28" i="9" s="1"/>
  <c r="F181" i="1"/>
  <c r="F173" i="1"/>
  <c r="F163" i="1"/>
  <c r="F149" i="1"/>
  <c r="F141" i="1"/>
  <c r="F133" i="1"/>
  <c r="F123" i="1"/>
  <c r="F107" i="1"/>
  <c r="F93" i="1"/>
  <c r="F85" i="1"/>
  <c r="F77" i="1"/>
  <c r="F69" i="1"/>
  <c r="F57" i="1"/>
  <c r="F45" i="1"/>
  <c r="F34" i="1"/>
  <c r="F22" i="1"/>
  <c r="F16" i="1"/>
  <c r="F543" i="1"/>
  <c r="F491" i="1"/>
  <c r="F414" i="1"/>
  <c r="F77" i="9" s="1"/>
  <c r="F37" i="9"/>
  <c r="D25" i="2"/>
  <c r="D16" i="2"/>
  <c r="F519" i="1"/>
  <c r="F516" i="1"/>
  <c r="F471" i="1"/>
  <c r="F468" i="1"/>
  <c r="F403" i="1"/>
  <c r="F389" i="1"/>
  <c r="F382" i="1"/>
  <c r="F374" i="1"/>
  <c r="F344" i="1"/>
  <c r="F342" i="1"/>
  <c r="F340" i="1"/>
  <c r="F338" i="1"/>
  <c r="F330" i="1"/>
  <c r="F295" i="1"/>
  <c r="F299" i="1" s="1"/>
  <c r="F283" i="1"/>
  <c r="F277" i="1"/>
  <c r="F249" i="1"/>
  <c r="F238" i="1"/>
  <c r="F230" i="1"/>
  <c r="F213" i="1"/>
  <c r="F203" i="1"/>
  <c r="F194" i="1"/>
  <c r="F185" i="1"/>
  <c r="F177" i="1"/>
  <c r="F167" i="1"/>
  <c r="F159" i="1"/>
  <c r="F145" i="1"/>
  <c r="F137" i="1"/>
  <c r="F127" i="1"/>
  <c r="F119" i="1"/>
  <c r="F111" i="1"/>
  <c r="F103" i="1"/>
  <c r="F97" i="1"/>
  <c r="F89" i="1"/>
  <c r="F73" i="1"/>
  <c r="F63" i="1"/>
  <c r="F49" i="1"/>
  <c r="F38" i="1"/>
  <c r="F30" i="1"/>
  <c r="F14" i="1"/>
  <c r="D17" i="2"/>
  <c r="F472" i="1"/>
  <c r="F443" i="1"/>
  <c r="F391" i="1"/>
  <c r="F368" i="1"/>
  <c r="F39" i="9"/>
  <c r="D33" i="2"/>
  <c r="D21" i="2"/>
  <c r="D14" i="2"/>
  <c r="F540" i="1"/>
  <c r="F515" i="1"/>
  <c r="F496" i="1"/>
  <c r="F467" i="1"/>
  <c r="F448" i="1"/>
  <c r="F428" i="1"/>
  <c r="F73" i="9" s="1"/>
  <c r="F422" i="1"/>
  <c r="F409" i="1"/>
  <c r="F400" i="1"/>
  <c r="F384" i="1"/>
  <c r="F372" i="1"/>
  <c r="F357" i="1"/>
  <c r="F353" i="1"/>
  <c r="F336" i="1"/>
  <c r="F328" i="1"/>
  <c r="F324" i="1"/>
  <c r="F267" i="1"/>
  <c r="F258" i="1"/>
  <c r="F247" i="1"/>
  <c r="F236" i="1"/>
  <c r="F228" i="1"/>
  <c r="F211" i="1"/>
  <c r="F201" i="1"/>
  <c r="F192" i="1"/>
  <c r="F183" i="1"/>
  <c r="F175" i="1"/>
  <c r="F165" i="1"/>
  <c r="F155" i="1"/>
  <c r="F143" i="1"/>
  <c r="F135" i="1"/>
  <c r="F125" i="1"/>
  <c r="F117" i="1"/>
  <c r="F109" i="1"/>
  <c r="F101" i="1"/>
  <c r="F95" i="1"/>
  <c r="F87" i="1"/>
  <c r="F79" i="1"/>
  <c r="F71" i="1"/>
  <c r="F59" i="1"/>
  <c r="F47" i="1"/>
  <c r="F36" i="1"/>
  <c r="F26" i="1"/>
  <c r="D27" i="2"/>
  <c r="D10" i="2"/>
  <c r="F520" i="1"/>
  <c r="F424" i="1"/>
  <c r="F386" i="1"/>
  <c r="F20" i="1"/>
  <c r="F65" i="1"/>
  <c r="F113" i="1"/>
  <c r="F139" i="1"/>
  <c r="F179" i="1"/>
  <c r="F217" i="1"/>
  <c r="F326" i="1"/>
  <c r="F359" i="1"/>
  <c r="F40" i="1"/>
  <c r="F121" i="1"/>
  <c r="F161" i="1"/>
  <c r="F197" i="1"/>
  <c r="F240" i="1"/>
  <c r="L85" i="10" l="1"/>
  <c r="L169" i="10"/>
  <c r="L148" i="10"/>
  <c r="L211" i="10"/>
  <c r="L208" i="10"/>
  <c r="L270" i="10"/>
  <c r="V84" i="4"/>
  <c r="L207" i="10"/>
  <c r="L92" i="10"/>
  <c r="L144" i="10"/>
  <c r="D275" i="10"/>
  <c r="B193" i="11" s="1"/>
  <c r="L276" i="10"/>
  <c r="L25" i="10"/>
  <c r="M276" i="10"/>
  <c r="D276" i="10"/>
  <c r="B194" i="11" s="1"/>
  <c r="M25" i="10"/>
  <c r="H25" i="10"/>
  <c r="Q25" i="10" s="1"/>
  <c r="O338" i="10"/>
  <c r="D339" i="10"/>
  <c r="B239" i="11" s="1"/>
  <c r="O285" i="10"/>
  <c r="L104" i="10"/>
  <c r="L146" i="10"/>
  <c r="L335" i="10"/>
  <c r="L232" i="10"/>
  <c r="L293" i="10"/>
  <c r="L271" i="10"/>
  <c r="L274" i="10"/>
  <c r="L209" i="10"/>
  <c r="L339" i="10"/>
  <c r="M87" i="10"/>
  <c r="O87" i="10" s="1"/>
  <c r="D150" i="10"/>
  <c r="B104" i="11" s="1"/>
  <c r="M150" i="10"/>
  <c r="D87" i="10"/>
  <c r="B59" i="11" s="1"/>
  <c r="L150" i="10"/>
  <c r="L81" i="10"/>
  <c r="L83" i="10"/>
  <c r="L167" i="10"/>
  <c r="L334" i="10"/>
  <c r="L20" i="10"/>
  <c r="M339" i="10"/>
  <c r="W84" i="8"/>
  <c r="L355" i="10"/>
  <c r="L302" i="10"/>
  <c r="L155" i="10"/>
  <c r="L113" i="10"/>
  <c r="L281" i="10"/>
  <c r="L229" i="10"/>
  <c r="W81" i="7"/>
  <c r="W84" i="7" s="1"/>
  <c r="L166" i="10"/>
  <c r="L239" i="10"/>
  <c r="L292" i="10"/>
  <c r="L279" i="10"/>
  <c r="L176" i="10"/>
  <c r="L90" i="10"/>
  <c r="V19" i="6"/>
  <c r="L153" i="10"/>
  <c r="L216" i="10"/>
  <c r="I90" i="9"/>
  <c r="V19" i="5"/>
  <c r="W13" i="5"/>
  <c r="W19" i="5" s="1"/>
  <c r="L273" i="10"/>
  <c r="W19" i="4"/>
  <c r="V19" i="4"/>
  <c r="L106" i="10"/>
  <c r="L105" i="10"/>
  <c r="L295" i="10"/>
  <c r="L82" i="10"/>
  <c r="O37" i="10"/>
  <c r="B206" i="11"/>
  <c r="B202" i="11"/>
  <c r="D43" i="9"/>
  <c r="L89" i="10" s="1"/>
  <c r="O289" i="10"/>
  <c r="O35" i="10"/>
  <c r="O97" i="10"/>
  <c r="O291" i="10"/>
  <c r="O163" i="10"/>
  <c r="O36" i="10"/>
  <c r="O223" i="10"/>
  <c r="O212" i="10"/>
  <c r="B69" i="11"/>
  <c r="O102" i="10"/>
  <c r="O100" i="10"/>
  <c r="O354" i="10"/>
  <c r="O350" i="10"/>
  <c r="O287" i="10"/>
  <c r="O225" i="10"/>
  <c r="O221" i="10"/>
  <c r="O290" i="10"/>
  <c r="O162" i="10"/>
  <c r="O164" i="10"/>
  <c r="O286" i="10"/>
  <c r="O95" i="10"/>
  <c r="O101" i="10"/>
  <c r="O353" i="10"/>
  <c r="O34" i="10"/>
  <c r="O227" i="10"/>
  <c r="B116" i="11"/>
  <c r="O347" i="10"/>
  <c r="O158" i="10"/>
  <c r="O288" i="10"/>
  <c r="O284" i="10"/>
  <c r="O160" i="10"/>
  <c r="O349" i="10"/>
  <c r="O159" i="10"/>
  <c r="O351" i="10"/>
  <c r="O40" i="10"/>
  <c r="L41" i="10"/>
  <c r="L23" i="10"/>
  <c r="L19" i="10"/>
  <c r="L28" i="10"/>
  <c r="L51" i="10"/>
  <c r="L30" i="10"/>
  <c r="L50" i="10"/>
  <c r="L42" i="10"/>
  <c r="L21" i="10"/>
  <c r="L44" i="10"/>
  <c r="E15" i="10"/>
  <c r="D15" i="10"/>
  <c r="B3" i="11" s="1"/>
  <c r="V19" i="7"/>
  <c r="L147" i="10"/>
  <c r="L43" i="10"/>
  <c r="L231" i="10"/>
  <c r="L168" i="10"/>
  <c r="L210" i="10"/>
  <c r="L336" i="10"/>
  <c r="L22" i="10"/>
  <c r="B249" i="11"/>
  <c r="L357" i="10"/>
  <c r="B67" i="11"/>
  <c r="B114" i="11"/>
  <c r="B73" i="11"/>
  <c r="B161" i="11"/>
  <c r="B71" i="11"/>
  <c r="B157" i="11"/>
  <c r="B204" i="11"/>
  <c r="B208" i="11"/>
  <c r="B118" i="11"/>
  <c r="B247" i="11"/>
  <c r="V84" i="6"/>
  <c r="W81" i="6"/>
  <c r="W84" i="6" s="1"/>
  <c r="B112" i="11"/>
  <c r="B251" i="11"/>
  <c r="F26" i="9"/>
  <c r="N207" i="10" s="1"/>
  <c r="M207" i="10" s="1"/>
  <c r="F376" i="1"/>
  <c r="E293" i="1"/>
  <c r="F293" i="1" s="1"/>
  <c r="E365" i="1"/>
  <c r="F84" i="9"/>
  <c r="N302" i="10" s="1"/>
  <c r="M302" i="10" s="1"/>
  <c r="O302" i="10" s="1"/>
  <c r="F397" i="1"/>
  <c r="F405" i="1" s="1"/>
  <c r="O325" i="1"/>
  <c r="O327" i="1" s="1"/>
  <c r="F346" i="1" s="1"/>
  <c r="F33" i="9"/>
  <c r="N210" i="10" s="1"/>
  <c r="M210" i="10" s="1"/>
  <c r="F205" i="1"/>
  <c r="F30" i="9" s="1"/>
  <c r="N335" i="10" s="1"/>
  <c r="M335" i="10" s="1"/>
  <c r="O335" i="10" s="1"/>
  <c r="D30" i="2"/>
  <c r="F82" i="9" s="1"/>
  <c r="N301" i="10" s="1"/>
  <c r="M301" i="10" s="1"/>
  <c r="O301" i="10" s="1"/>
  <c r="O335" i="1"/>
  <c r="F473" i="1"/>
  <c r="F449" i="1"/>
  <c r="F255" i="1"/>
  <c r="F75" i="9" s="1"/>
  <c r="N231" i="10" s="1"/>
  <c r="M231" i="10" s="1"/>
  <c r="F388" i="1"/>
  <c r="E395" i="1" s="1"/>
  <c r="F395" i="1" s="1"/>
  <c r="N208" i="10"/>
  <c r="M208" i="10" s="1"/>
  <c r="O208" i="10" s="1"/>
  <c r="N271" i="10"/>
  <c r="M271" i="10" s="1"/>
  <c r="N334" i="10"/>
  <c r="M334" i="10" s="1"/>
  <c r="N145" i="10"/>
  <c r="M145" i="10" s="1"/>
  <c r="O145" i="10" s="1"/>
  <c r="N82" i="10"/>
  <c r="M82" i="10" s="1"/>
  <c r="N20" i="10"/>
  <c r="M20" i="10" s="1"/>
  <c r="O20" i="10" s="1"/>
  <c r="F469" i="1"/>
  <c r="F477" i="1"/>
  <c r="F55" i="9" s="1"/>
  <c r="F453" i="1"/>
  <c r="F43" i="9" s="1"/>
  <c r="F445" i="1"/>
  <c r="F363" i="1"/>
  <c r="N339" i="10"/>
  <c r="N276" i="10"/>
  <c r="N150" i="10"/>
  <c r="N87" i="10"/>
  <c r="N213" i="10"/>
  <c r="N25" i="10"/>
  <c r="F186" i="1"/>
  <c r="F24" i="9" s="1"/>
  <c r="D24" i="9" s="1"/>
  <c r="F549" i="1"/>
  <c r="F67" i="9" s="1"/>
  <c r="F541" i="1"/>
  <c r="F275" i="1"/>
  <c r="N338" i="10"/>
  <c r="N275" i="10"/>
  <c r="N86" i="10"/>
  <c r="N212" i="10"/>
  <c r="N24" i="10"/>
  <c r="N149" i="10"/>
  <c r="F545" i="1"/>
  <c r="N355" i="10"/>
  <c r="M355" i="10" s="1"/>
  <c r="N292" i="10"/>
  <c r="M292" i="10" s="1"/>
  <c r="O292" i="10" s="1"/>
  <c r="N103" i="10"/>
  <c r="M103" i="10" s="1"/>
  <c r="O103" i="10" s="1"/>
  <c r="N229" i="10"/>
  <c r="M229" i="10" s="1"/>
  <c r="N41" i="10"/>
  <c r="M41" i="10" s="1"/>
  <c r="N166" i="10"/>
  <c r="M166" i="10" s="1"/>
  <c r="N358" i="10"/>
  <c r="M358" i="10" s="1"/>
  <c r="O358" i="10" s="1"/>
  <c r="N295" i="10"/>
  <c r="M295" i="10" s="1"/>
  <c r="N232" i="10"/>
  <c r="M232" i="10" s="1"/>
  <c r="N44" i="10"/>
  <c r="M44" i="10" s="1"/>
  <c r="N169" i="10"/>
  <c r="M169" i="10" s="1"/>
  <c r="N106" i="10"/>
  <c r="M106" i="10" s="1"/>
  <c r="F493" i="1"/>
  <c r="F501" i="1"/>
  <c r="F59" i="9" s="1"/>
  <c r="N356" i="10"/>
  <c r="M356" i="10" s="1"/>
  <c r="O356" i="10" s="1"/>
  <c r="N167" i="10"/>
  <c r="M167" i="10" s="1"/>
  <c r="N293" i="10"/>
  <c r="M293" i="10" s="1"/>
  <c r="N104" i="10"/>
  <c r="M104" i="10" s="1"/>
  <c r="N42" i="10"/>
  <c r="M42" i="10" s="1"/>
  <c r="N230" i="10"/>
  <c r="M230" i="10" s="1"/>
  <c r="O230" i="10" s="1"/>
  <c r="F517" i="1"/>
  <c r="F525" i="1"/>
  <c r="F63" i="9" s="1"/>
  <c r="F521" i="1"/>
  <c r="F497" i="1"/>
  <c r="O317" i="1"/>
  <c r="F332" i="1" s="1"/>
  <c r="O169" i="10" l="1"/>
  <c r="D169" i="10" s="1"/>
  <c r="O207" i="10"/>
  <c r="H207" i="10" s="1"/>
  <c r="Q207" i="10" s="1"/>
  <c r="O25" i="10"/>
  <c r="O276" i="10"/>
  <c r="O355" i="10"/>
  <c r="H355" i="10" s="1"/>
  <c r="Q355" i="10" s="1"/>
  <c r="O339" i="10"/>
  <c r="O232" i="10"/>
  <c r="D232" i="10" s="1"/>
  <c r="O166" i="10"/>
  <c r="H166" i="10" s="1"/>
  <c r="Q166" i="10" s="1"/>
  <c r="O271" i="10"/>
  <c r="H271" i="10" s="1"/>
  <c r="Q271" i="10" s="1"/>
  <c r="O104" i="10"/>
  <c r="D104" i="10" s="1"/>
  <c r="O293" i="10"/>
  <c r="D293" i="10" s="1"/>
  <c r="O167" i="10"/>
  <c r="D167" i="10" s="1"/>
  <c r="O150" i="10"/>
  <c r="O334" i="10"/>
  <c r="H334" i="10" s="1"/>
  <c r="Q334" i="10" s="1"/>
  <c r="O295" i="10"/>
  <c r="H295" i="10" s="1"/>
  <c r="Q295" i="10" s="1"/>
  <c r="O229" i="10"/>
  <c r="D229" i="10" s="1"/>
  <c r="O106" i="10"/>
  <c r="H106" i="10" s="1"/>
  <c r="Q106" i="10" s="1"/>
  <c r="O44" i="10"/>
  <c r="H44" i="10" s="1"/>
  <c r="Q44" i="10" s="1"/>
  <c r="O82" i="10"/>
  <c r="H82" i="10" s="1"/>
  <c r="Q82" i="10" s="1"/>
  <c r="O41" i="10"/>
  <c r="H41" i="10" s="1"/>
  <c r="Q41" i="10" s="1"/>
  <c r="D79" i="9"/>
  <c r="L278" i="10"/>
  <c r="L341" i="10"/>
  <c r="L215" i="10"/>
  <c r="L152" i="10"/>
  <c r="L27" i="10"/>
  <c r="O42" i="10"/>
  <c r="H42" i="10" s="1"/>
  <c r="Q42" i="10" s="1"/>
  <c r="O210" i="10"/>
  <c r="D210" i="10" s="1"/>
  <c r="L332" i="10"/>
  <c r="L18" i="10"/>
  <c r="L206" i="10"/>
  <c r="L269" i="10"/>
  <c r="L80" i="10"/>
  <c r="L143" i="10"/>
  <c r="O231" i="10"/>
  <c r="D231" i="10" s="1"/>
  <c r="N113" i="10"/>
  <c r="M113" i="10" s="1"/>
  <c r="O113" i="10" s="1"/>
  <c r="H113" i="10" s="1"/>
  <c r="Q113" i="10" s="1"/>
  <c r="N209" i="10"/>
  <c r="M209" i="10" s="1"/>
  <c r="O209" i="10" s="1"/>
  <c r="H209" i="10" s="1"/>
  <c r="Q209" i="10" s="1"/>
  <c r="N270" i="10"/>
  <c r="M270" i="10" s="1"/>
  <c r="O270" i="10" s="1"/>
  <c r="D270" i="10" s="1"/>
  <c r="N112" i="10"/>
  <c r="M112" i="10" s="1"/>
  <c r="O112" i="10" s="1"/>
  <c r="H112" i="10" s="1"/>
  <c r="Q112" i="10" s="1"/>
  <c r="N357" i="10"/>
  <c r="M357" i="10" s="1"/>
  <c r="O357" i="10" s="1"/>
  <c r="D357" i="10" s="1"/>
  <c r="F35" i="9"/>
  <c r="N211" i="10" s="1"/>
  <c r="M211" i="10" s="1"/>
  <c r="O211" i="10" s="1"/>
  <c r="F90" i="9"/>
  <c r="N176" i="10"/>
  <c r="M176" i="10" s="1"/>
  <c r="O176" i="10" s="1"/>
  <c r="H176" i="10" s="1"/>
  <c r="Q176" i="10" s="1"/>
  <c r="N146" i="10"/>
  <c r="M146" i="10" s="1"/>
  <c r="O146" i="10" s="1"/>
  <c r="H146" i="10" s="1"/>
  <c r="Q146" i="10" s="1"/>
  <c r="N333" i="10"/>
  <c r="M333" i="10" s="1"/>
  <c r="O333" i="10" s="1"/>
  <c r="H333" i="10" s="1"/>
  <c r="Q333" i="10" s="1"/>
  <c r="N239" i="10"/>
  <c r="M239" i="10" s="1"/>
  <c r="O239" i="10" s="1"/>
  <c r="D239" i="10" s="1"/>
  <c r="N81" i="10"/>
  <c r="M81" i="10" s="1"/>
  <c r="O81" i="10" s="1"/>
  <c r="D81" i="10" s="1"/>
  <c r="N365" i="10"/>
  <c r="M365" i="10" s="1"/>
  <c r="O365" i="10" s="1"/>
  <c r="H365" i="10" s="1"/>
  <c r="Q365" i="10" s="1"/>
  <c r="F45" i="9"/>
  <c r="N279" i="10" s="1"/>
  <c r="M279" i="10" s="1"/>
  <c r="O279" i="10" s="1"/>
  <c r="N19" i="10"/>
  <c r="M19" i="10" s="1"/>
  <c r="O19" i="10" s="1"/>
  <c r="H19" i="10" s="1"/>
  <c r="Q19" i="10" s="1"/>
  <c r="N43" i="10"/>
  <c r="M43" i="10" s="1"/>
  <c r="O43" i="10" s="1"/>
  <c r="D43" i="10" s="1"/>
  <c r="N294" i="10"/>
  <c r="M294" i="10" s="1"/>
  <c r="O294" i="10" s="1"/>
  <c r="D294" i="10" s="1"/>
  <c r="F88" i="9"/>
  <c r="N238" i="10"/>
  <c r="M238" i="10" s="1"/>
  <c r="O238" i="10" s="1"/>
  <c r="D238" i="10" s="1"/>
  <c r="N51" i="10"/>
  <c r="M51" i="10" s="1"/>
  <c r="O51" i="10" s="1"/>
  <c r="D51" i="10" s="1"/>
  <c r="N105" i="10"/>
  <c r="M105" i="10" s="1"/>
  <c r="O105" i="10" s="1"/>
  <c r="D105" i="10" s="1"/>
  <c r="N21" i="10"/>
  <c r="M21" i="10" s="1"/>
  <c r="O21" i="10" s="1"/>
  <c r="D21" i="10" s="1"/>
  <c r="N272" i="10"/>
  <c r="M272" i="10" s="1"/>
  <c r="O272" i="10" s="1"/>
  <c r="H272" i="10" s="1"/>
  <c r="Q272" i="10" s="1"/>
  <c r="N144" i="10"/>
  <c r="M144" i="10" s="1"/>
  <c r="O144" i="10" s="1"/>
  <c r="D144" i="10" s="1"/>
  <c r="F86" i="9"/>
  <c r="N364" i="10"/>
  <c r="M364" i="10" s="1"/>
  <c r="O364" i="10" s="1"/>
  <c r="H364" i="10" s="1"/>
  <c r="Q364" i="10" s="1"/>
  <c r="N168" i="10"/>
  <c r="M168" i="10" s="1"/>
  <c r="O168" i="10" s="1"/>
  <c r="H168" i="10" s="1"/>
  <c r="Q168" i="10" s="1"/>
  <c r="N83" i="10"/>
  <c r="M83" i="10" s="1"/>
  <c r="O83" i="10" s="1"/>
  <c r="H83" i="10" s="1"/>
  <c r="Q83" i="10" s="1"/>
  <c r="N175" i="10"/>
  <c r="M175" i="10" s="1"/>
  <c r="O175" i="10" s="1"/>
  <c r="D175" i="10" s="1"/>
  <c r="O366" i="1"/>
  <c r="F365" i="1" s="1"/>
  <c r="F410" i="1" s="1"/>
  <c r="F49" i="9" s="1"/>
  <c r="N344" i="10" s="1"/>
  <c r="M344" i="10" s="1"/>
  <c r="O344" i="10" s="1"/>
  <c r="F65" i="9"/>
  <c r="N352" i="10" s="1"/>
  <c r="F57" i="9"/>
  <c r="N222" i="10" s="1"/>
  <c r="N84" i="10"/>
  <c r="M84" i="10" s="1"/>
  <c r="O84" i="10" s="1"/>
  <c r="D84" i="10" s="1"/>
  <c r="N50" i="10"/>
  <c r="M50" i="10" s="1"/>
  <c r="O50" i="10" s="1"/>
  <c r="D50" i="10" s="1"/>
  <c r="N273" i="10"/>
  <c r="M273" i="10" s="1"/>
  <c r="O273" i="10" s="1"/>
  <c r="H273" i="10" s="1"/>
  <c r="Q273" i="10" s="1"/>
  <c r="N147" i="10"/>
  <c r="M147" i="10" s="1"/>
  <c r="O147" i="10" s="1"/>
  <c r="D147" i="10" s="1"/>
  <c r="N336" i="10"/>
  <c r="M336" i="10" s="1"/>
  <c r="O336" i="10" s="1"/>
  <c r="D336" i="10" s="1"/>
  <c r="N22" i="10"/>
  <c r="M22" i="10" s="1"/>
  <c r="O22" i="10" s="1"/>
  <c r="D22" i="10" s="1"/>
  <c r="O323" i="1"/>
  <c r="H293" i="10"/>
  <c r="Q293" i="10" s="1"/>
  <c r="N347" i="10"/>
  <c r="N284" i="10"/>
  <c r="N95" i="10"/>
  <c r="N221" i="10"/>
  <c r="N33" i="10"/>
  <c r="D33" i="10"/>
  <c r="N158" i="10"/>
  <c r="N332" i="10"/>
  <c r="M332" i="10" s="1"/>
  <c r="N269" i="10"/>
  <c r="M269" i="10" s="1"/>
  <c r="N206" i="10"/>
  <c r="M206" i="10" s="1"/>
  <c r="N143" i="10"/>
  <c r="M143" i="10" s="1"/>
  <c r="N80" i="10"/>
  <c r="M80" i="10" s="1"/>
  <c r="N18" i="10"/>
  <c r="M18" i="10" s="1"/>
  <c r="D356" i="10"/>
  <c r="H356" i="10"/>
  <c r="Q356" i="10" s="1"/>
  <c r="H358" i="10"/>
  <c r="Q358" i="10" s="1"/>
  <c r="D358" i="10"/>
  <c r="D103" i="10"/>
  <c r="H103" i="10"/>
  <c r="Q103" i="10" s="1"/>
  <c r="N288" i="10"/>
  <c r="N225" i="10"/>
  <c r="N351" i="10"/>
  <c r="N99" i="10"/>
  <c r="N162" i="10"/>
  <c r="N37" i="10"/>
  <c r="D37" i="10"/>
  <c r="N349" i="10"/>
  <c r="N223" i="10"/>
  <c r="N160" i="10"/>
  <c r="N286" i="10"/>
  <c r="N35" i="10"/>
  <c r="D35" i="10"/>
  <c r="N97" i="10"/>
  <c r="D292" i="10"/>
  <c r="H292" i="10"/>
  <c r="Q292" i="10" s="1"/>
  <c r="D302" i="10"/>
  <c r="H302" i="10"/>
  <c r="Q302" i="10" s="1"/>
  <c r="F69" i="9"/>
  <c r="N341" i="10"/>
  <c r="M341" i="10" s="1"/>
  <c r="N278" i="10"/>
  <c r="M278" i="10" s="1"/>
  <c r="N152" i="10"/>
  <c r="M152" i="10" s="1"/>
  <c r="N215" i="10"/>
  <c r="M215" i="10" s="1"/>
  <c r="N89" i="10"/>
  <c r="M89" i="10" s="1"/>
  <c r="O89" i="10" s="1"/>
  <c r="D89" i="10" s="1"/>
  <c r="N27" i="10"/>
  <c r="M27" i="10" s="1"/>
  <c r="F47" i="9"/>
  <c r="H20" i="10"/>
  <c r="Q20" i="10" s="1"/>
  <c r="D20" i="10"/>
  <c r="D335" i="10"/>
  <c r="H335" i="10"/>
  <c r="Q335" i="10" s="1"/>
  <c r="D208" i="10"/>
  <c r="H208" i="10"/>
  <c r="Q208" i="10" s="1"/>
  <c r="D301" i="10"/>
  <c r="H301" i="10"/>
  <c r="Q301" i="10" s="1"/>
  <c r="F61" i="9"/>
  <c r="N353" i="10"/>
  <c r="N290" i="10"/>
  <c r="N164" i="10"/>
  <c r="N101" i="10"/>
  <c r="N227" i="10"/>
  <c r="N39" i="10"/>
  <c r="D39" i="10"/>
  <c r="H230" i="10"/>
  <c r="Q230" i="10" s="1"/>
  <c r="D230" i="10"/>
  <c r="H145" i="10"/>
  <c r="Q145" i="10" s="1"/>
  <c r="D145" i="10"/>
  <c r="D207" i="10" l="1"/>
  <c r="B143" i="11" s="1"/>
  <c r="H169" i="10"/>
  <c r="Q169" i="10" s="1"/>
  <c r="H104" i="10"/>
  <c r="Q104" i="10" s="1"/>
  <c r="D355" i="10"/>
  <c r="C355" i="10" s="1"/>
  <c r="H232" i="10"/>
  <c r="Q232" i="10" s="1"/>
  <c r="H167" i="10"/>
  <c r="Q167" i="10" s="1"/>
  <c r="D166" i="10"/>
  <c r="B166" i="10" s="1"/>
  <c r="D271" i="10"/>
  <c r="B189" i="11" s="1"/>
  <c r="D334" i="10"/>
  <c r="B234" i="11" s="1"/>
  <c r="D295" i="10"/>
  <c r="C295" i="10" s="1"/>
  <c r="H229" i="10"/>
  <c r="Q229" i="10" s="1"/>
  <c r="O215" i="10"/>
  <c r="D215" i="10" s="1"/>
  <c r="H215" i="10" s="1"/>
  <c r="Q215" i="10" s="1"/>
  <c r="O27" i="10"/>
  <c r="D27" i="10" s="1"/>
  <c r="C27" i="10" s="1"/>
  <c r="O278" i="10"/>
  <c r="D278" i="10" s="1"/>
  <c r="C278" i="10" s="1"/>
  <c r="D106" i="10"/>
  <c r="C106" i="10" s="1"/>
  <c r="D82" i="10"/>
  <c r="B54" i="11" s="1"/>
  <c r="D44" i="10"/>
  <c r="C44" i="10" s="1"/>
  <c r="D41" i="10"/>
  <c r="C41" i="10" s="1"/>
  <c r="O206" i="10"/>
  <c r="H206" i="10" s="1"/>
  <c r="Q206" i="10" s="1"/>
  <c r="O341" i="10"/>
  <c r="D341" i="10" s="1"/>
  <c r="C341" i="10" s="1"/>
  <c r="O152" i="10"/>
  <c r="D152" i="10" s="1"/>
  <c r="C152" i="10" s="1"/>
  <c r="O80" i="10"/>
  <c r="H80" i="10" s="1"/>
  <c r="Q80" i="10" s="1"/>
  <c r="O332" i="10"/>
  <c r="H332" i="10" s="1"/>
  <c r="Q332" i="10" s="1"/>
  <c r="O18" i="10"/>
  <c r="H18" i="10" s="1"/>
  <c r="Q18" i="10" s="1"/>
  <c r="D42" i="10"/>
  <c r="C42" i="10" s="1"/>
  <c r="H210" i="10"/>
  <c r="Q210" i="10" s="1"/>
  <c r="O269" i="10"/>
  <c r="D269" i="10" s="1"/>
  <c r="N216" i="10"/>
  <c r="M216" i="10" s="1"/>
  <c r="O216" i="10" s="1"/>
  <c r="O143" i="10"/>
  <c r="D143" i="10" s="1"/>
  <c r="H231" i="10"/>
  <c r="Q231" i="10" s="1"/>
  <c r="D209" i="10"/>
  <c r="B145" i="11" s="1"/>
  <c r="H270" i="10"/>
  <c r="Q270" i="10" s="1"/>
  <c r="D112" i="10"/>
  <c r="B84" i="11" s="1"/>
  <c r="D176" i="10"/>
  <c r="B130" i="11" s="1"/>
  <c r="D113" i="10"/>
  <c r="B85" i="11" s="1"/>
  <c r="D272" i="10"/>
  <c r="B190" i="11" s="1"/>
  <c r="F51" i="9"/>
  <c r="N226" i="10"/>
  <c r="H357" i="10"/>
  <c r="Q357" i="10" s="1"/>
  <c r="D19" i="10"/>
  <c r="B7" i="11" s="1"/>
  <c r="H21" i="10"/>
  <c r="Q21" i="10" s="1"/>
  <c r="N28" i="10"/>
  <c r="M28" i="10" s="1"/>
  <c r="O28" i="10" s="1"/>
  <c r="F53" i="9"/>
  <c r="N148" i="10"/>
  <c r="M148" i="10" s="1"/>
  <c r="O148" i="10" s="1"/>
  <c r="H148" i="10" s="1"/>
  <c r="Q148" i="10" s="1"/>
  <c r="F41" i="9"/>
  <c r="N274" i="10"/>
  <c r="M274" i="10" s="1"/>
  <c r="O274" i="10" s="1"/>
  <c r="D274" i="10" s="1"/>
  <c r="H239" i="10"/>
  <c r="Q239" i="10" s="1"/>
  <c r="H238" i="10"/>
  <c r="Q238" i="10" s="1"/>
  <c r="D168" i="10"/>
  <c r="B168" i="10" s="1"/>
  <c r="D273" i="10"/>
  <c r="B191" i="11" s="1"/>
  <c r="N85" i="10"/>
  <c r="M85" i="10" s="1"/>
  <c r="O85" i="10" s="1"/>
  <c r="H85" i="10" s="1"/>
  <c r="Q85" i="10" s="1"/>
  <c r="N337" i="10"/>
  <c r="M337" i="10" s="1"/>
  <c r="O337" i="10" s="1"/>
  <c r="D337" i="10" s="1"/>
  <c r="N100" i="10"/>
  <c r="N289" i="10"/>
  <c r="D364" i="10"/>
  <c r="B264" i="11" s="1"/>
  <c r="D333" i="10"/>
  <c r="B233" i="11" s="1"/>
  <c r="N23" i="10"/>
  <c r="M23" i="10" s="1"/>
  <c r="O23" i="10" s="1"/>
  <c r="H23" i="10" s="1"/>
  <c r="Q23" i="10" s="1"/>
  <c r="N163" i="10"/>
  <c r="H81" i="10"/>
  <c r="Q81" i="10" s="1"/>
  <c r="N159" i="10"/>
  <c r="D83" i="10"/>
  <c r="B55" i="11" s="1"/>
  <c r="D146" i="10"/>
  <c r="B100" i="11" s="1"/>
  <c r="D365" i="10"/>
  <c r="B265" i="11" s="1"/>
  <c r="H175" i="10"/>
  <c r="Q175" i="10" s="1"/>
  <c r="Q177" i="10" s="1"/>
  <c r="D177" i="10" s="1"/>
  <c r="H50" i="10"/>
  <c r="Q50" i="10" s="1"/>
  <c r="N342" i="10"/>
  <c r="M342" i="10" s="1"/>
  <c r="O342" i="10" s="1"/>
  <c r="H294" i="10"/>
  <c r="Q294" i="10" s="1"/>
  <c r="H43" i="10"/>
  <c r="Q43" i="10" s="1"/>
  <c r="N153" i="10"/>
  <c r="M153" i="10" s="1"/>
  <c r="O153" i="10" s="1"/>
  <c r="N285" i="10"/>
  <c r="N90" i="10"/>
  <c r="M90" i="10" s="1"/>
  <c r="O90" i="10" s="1"/>
  <c r="N155" i="10"/>
  <c r="M155" i="10" s="1"/>
  <c r="O155" i="10" s="1"/>
  <c r="D155" i="10" s="1"/>
  <c r="N96" i="10"/>
  <c r="H144" i="10"/>
  <c r="Q144" i="10" s="1"/>
  <c r="H336" i="10"/>
  <c r="Q336" i="10" s="1"/>
  <c r="H105" i="10"/>
  <c r="Q105" i="10" s="1"/>
  <c r="H51" i="10"/>
  <c r="Q51" i="10" s="1"/>
  <c r="H84" i="10"/>
  <c r="Q84" i="10" s="1"/>
  <c r="N348" i="10"/>
  <c r="N38" i="10"/>
  <c r="N281" i="10"/>
  <c r="M281" i="10" s="1"/>
  <c r="O281" i="10" s="1"/>
  <c r="D281" i="10" s="1"/>
  <c r="N30" i="10"/>
  <c r="M30" i="10" s="1"/>
  <c r="O30" i="10" s="1"/>
  <c r="H30" i="10" s="1"/>
  <c r="Q30" i="10" s="1"/>
  <c r="N34" i="10"/>
  <c r="N218" i="10"/>
  <c r="M218" i="10" s="1"/>
  <c r="O218" i="10" s="1"/>
  <c r="H218" i="10" s="1"/>
  <c r="Q218" i="10" s="1"/>
  <c r="H22" i="10"/>
  <c r="Q22" i="10" s="1"/>
  <c r="H147" i="10"/>
  <c r="Q147" i="10" s="1"/>
  <c r="N92" i="10"/>
  <c r="M92" i="10" s="1"/>
  <c r="O92" i="10" s="1"/>
  <c r="H92" i="10" s="1"/>
  <c r="Q92" i="10" s="1"/>
  <c r="B8" i="11"/>
  <c r="B230" i="10"/>
  <c r="C230" i="10"/>
  <c r="N354" i="10"/>
  <c r="N291" i="10"/>
  <c r="N228" i="10"/>
  <c r="N40" i="10"/>
  <c r="N165" i="10"/>
  <c r="N102" i="10"/>
  <c r="B292" i="10"/>
  <c r="C292" i="10"/>
  <c r="C104" i="10"/>
  <c r="B104" i="10"/>
  <c r="C294" i="10"/>
  <c r="B294" i="10"/>
  <c r="D211" i="10"/>
  <c r="H211" i="10"/>
  <c r="Q211" i="10" s="1"/>
  <c r="C356" i="10"/>
  <c r="B356" i="10"/>
  <c r="C232" i="10"/>
  <c r="B232" i="10"/>
  <c r="B144" i="11"/>
  <c r="Q114" i="10"/>
  <c r="D114" i="10" s="1"/>
  <c r="Q115" i="10"/>
  <c r="D115" i="10" s="1"/>
  <c r="B99" i="11"/>
  <c r="C357" i="10"/>
  <c r="B357" i="10"/>
  <c r="B220" i="11"/>
  <c r="H35" i="10"/>
  <c r="Q35" i="10" s="1"/>
  <c r="H37" i="10"/>
  <c r="Q37" i="10" s="1"/>
  <c r="B105" i="10"/>
  <c r="C105" i="10"/>
  <c r="B103" i="10"/>
  <c r="C103" i="10"/>
  <c r="B169" i="10"/>
  <c r="C169" i="10"/>
  <c r="H33" i="10"/>
  <c r="Q33" i="10" s="1"/>
  <c r="B293" i="10"/>
  <c r="C293" i="10"/>
  <c r="C43" i="10"/>
  <c r="B43" i="10"/>
  <c r="B229" i="10"/>
  <c r="C229" i="10"/>
  <c r="H39" i="10"/>
  <c r="Q39" i="10" s="1"/>
  <c r="Q304" i="10"/>
  <c r="D304" i="10" s="1"/>
  <c r="Q303" i="10"/>
  <c r="D303" i="10" s="1"/>
  <c r="B167" i="10"/>
  <c r="C167" i="10"/>
  <c r="B219" i="11"/>
  <c r="Q366" i="10"/>
  <c r="D366" i="10" s="1"/>
  <c r="Q367" i="10"/>
  <c r="D367" i="10" s="1"/>
  <c r="N350" i="10"/>
  <c r="N287" i="10"/>
  <c r="N224" i="10"/>
  <c r="N161" i="10"/>
  <c r="N98" i="10"/>
  <c r="N36" i="10"/>
  <c r="B235" i="11"/>
  <c r="B231" i="10"/>
  <c r="C231" i="10"/>
  <c r="C89" i="10"/>
  <c r="H89" i="10"/>
  <c r="Q89" i="10" s="1"/>
  <c r="B358" i="10"/>
  <c r="C358" i="10"/>
  <c r="D344" i="10"/>
  <c r="H344" i="10"/>
  <c r="Q344" i="10" s="1"/>
  <c r="B355" i="10" l="1"/>
  <c r="B255" i="11" s="1"/>
  <c r="C166" i="10"/>
  <c r="B120" i="11" s="1"/>
  <c r="B295" i="10"/>
  <c r="B213" i="11" s="1"/>
  <c r="C215" i="10"/>
  <c r="B151" i="11" s="1"/>
  <c r="H27" i="10"/>
  <c r="Q27" i="10" s="1"/>
  <c r="Q31" i="10" s="1"/>
  <c r="H278" i="10"/>
  <c r="Q278" i="10" s="1"/>
  <c r="Q280" i="10" s="1"/>
  <c r="D280" i="10" s="1"/>
  <c r="B106" i="10"/>
  <c r="B78" i="11" s="1"/>
  <c r="B44" i="10"/>
  <c r="B33" i="11" s="1"/>
  <c r="B41" i="10"/>
  <c r="B30" i="11" s="1"/>
  <c r="H341" i="10"/>
  <c r="Q341" i="10" s="1"/>
  <c r="Q343" i="10" s="1"/>
  <c r="D343" i="10" s="1"/>
  <c r="D206" i="10"/>
  <c r="B142" i="11" s="1"/>
  <c r="B42" i="10"/>
  <c r="B31" i="11" s="1"/>
  <c r="H152" i="10"/>
  <c r="Q152" i="10" s="1"/>
  <c r="Q154" i="10" s="1"/>
  <c r="D154" i="10" s="1"/>
  <c r="D332" i="10"/>
  <c r="B232" i="11" s="1"/>
  <c r="D80" i="10"/>
  <c r="B52" i="11" s="1"/>
  <c r="D18" i="10"/>
  <c r="B6" i="11" s="1"/>
  <c r="B146" i="11"/>
  <c r="H269" i="10"/>
  <c r="Q269" i="10" s="1"/>
  <c r="H143" i="10"/>
  <c r="Q143" i="10" s="1"/>
  <c r="Q151" i="10" s="1"/>
  <c r="D151" i="10" s="1"/>
  <c r="Q178" i="10"/>
  <c r="D178" i="10" s="1"/>
  <c r="H178" i="10" s="1"/>
  <c r="B132" i="11" s="1"/>
  <c r="B188" i="11"/>
  <c r="D148" i="10"/>
  <c r="B102" i="11" s="1"/>
  <c r="Q52" i="10"/>
  <c r="D52" i="10" s="1"/>
  <c r="H52" i="10" s="1"/>
  <c r="B41" i="11" s="1"/>
  <c r="B9" i="11"/>
  <c r="F79" i="9"/>
  <c r="H274" i="10"/>
  <c r="Q274" i="10" s="1"/>
  <c r="D23" i="10"/>
  <c r="B11" i="11" s="1"/>
  <c r="Q241" i="10"/>
  <c r="D241" i="10" s="1"/>
  <c r="D242" i="10" s="1"/>
  <c r="B257" i="11"/>
  <c r="B129" i="11"/>
  <c r="B174" i="11"/>
  <c r="B175" i="11"/>
  <c r="Q240" i="10"/>
  <c r="D240" i="10" s="1"/>
  <c r="H240" i="10" s="1"/>
  <c r="B176" i="11" s="1"/>
  <c r="H337" i="10"/>
  <c r="Q337" i="10" s="1"/>
  <c r="C168" i="10"/>
  <c r="B122" i="11" s="1"/>
  <c r="H155" i="10"/>
  <c r="Q155" i="10" s="1"/>
  <c r="D85" i="10"/>
  <c r="B57" i="11" s="1"/>
  <c r="D30" i="10"/>
  <c r="B19" i="11" s="1"/>
  <c r="B53" i="11"/>
  <c r="Q53" i="10"/>
  <c r="D53" i="10" s="1"/>
  <c r="H53" i="10" s="1"/>
  <c r="B42" i="11" s="1"/>
  <c r="D92" i="10"/>
  <c r="B64" i="11" s="1"/>
  <c r="B212" i="11"/>
  <c r="B236" i="11"/>
  <c r="B39" i="11"/>
  <c r="B258" i="11"/>
  <c r="B123" i="11"/>
  <c r="B76" i="11"/>
  <c r="B10" i="11"/>
  <c r="H281" i="10"/>
  <c r="Q281" i="10" s="1"/>
  <c r="B56" i="11"/>
  <c r="B98" i="11"/>
  <c r="B165" i="11"/>
  <c r="B77" i="11"/>
  <c r="B40" i="11"/>
  <c r="D218" i="10"/>
  <c r="B154" i="11" s="1"/>
  <c r="B61" i="11"/>
  <c r="B28" i="11"/>
  <c r="B32" i="11"/>
  <c r="B147" i="11"/>
  <c r="B210" i="11"/>
  <c r="B75" i="11"/>
  <c r="B168" i="11"/>
  <c r="B256" i="11"/>
  <c r="B167" i="11"/>
  <c r="B121" i="11"/>
  <c r="B211" i="11"/>
  <c r="B22" i="11"/>
  <c r="B166" i="11"/>
  <c r="B101" i="11"/>
  <c r="H114" i="10"/>
  <c r="B86" i="11" s="1"/>
  <c r="D368" i="10"/>
  <c r="H367" i="10"/>
  <c r="B267" i="11" s="1"/>
  <c r="H177" i="10"/>
  <c r="B131" i="11" s="1"/>
  <c r="Q219" i="10"/>
  <c r="Q217" i="10"/>
  <c r="D217" i="10" s="1"/>
  <c r="B26" i="11"/>
  <c r="Q214" i="10"/>
  <c r="D214" i="10" s="1"/>
  <c r="Q88" i="10"/>
  <c r="D88" i="10" s="1"/>
  <c r="H304" i="10"/>
  <c r="B222" i="11" s="1"/>
  <c r="D305" i="10"/>
  <c r="Q26" i="10"/>
  <c r="D26" i="10" s="1"/>
  <c r="H366" i="10"/>
  <c r="B266" i="11" s="1"/>
  <c r="H303" i="10"/>
  <c r="B221" i="11" s="1"/>
  <c r="B244" i="11"/>
  <c r="Q91" i="10"/>
  <c r="D91" i="10" s="1"/>
  <c r="Q93" i="10"/>
  <c r="B24" i="11"/>
  <c r="D116" i="10"/>
  <c r="H115" i="10"/>
  <c r="B87" i="11" s="1"/>
  <c r="Q29" i="10" l="1"/>
  <c r="D29" i="10" s="1"/>
  <c r="H29" i="10" s="1"/>
  <c r="B18" i="11" s="1"/>
  <c r="B16" i="11"/>
  <c r="B196" i="11"/>
  <c r="Q282" i="10"/>
  <c r="D282" i="10" s="1"/>
  <c r="B241" i="11"/>
  <c r="Q345" i="10"/>
  <c r="D345" i="10" s="1"/>
  <c r="B106" i="11"/>
  <c r="B187" i="11"/>
  <c r="Q156" i="10"/>
  <c r="Q157" i="10" s="1"/>
  <c r="Q170" i="10" s="1"/>
  <c r="D170" i="10" s="1"/>
  <c r="B125" i="11" s="1"/>
  <c r="B97" i="11"/>
  <c r="D179" i="10"/>
  <c r="H179" i="10" s="1"/>
  <c r="Q179" i="10" s="1"/>
  <c r="Q180" i="10" s="1"/>
  <c r="D180" i="10" s="1"/>
  <c r="Q277" i="10"/>
  <c r="D277" i="10" s="1"/>
  <c r="H277" i="10" s="1"/>
  <c r="B195" i="11" s="1"/>
  <c r="H241" i="10"/>
  <c r="B177" i="11" s="1"/>
  <c r="D54" i="10"/>
  <c r="H54" i="10" s="1"/>
  <c r="Q54" i="10" s="1"/>
  <c r="Q55" i="10" s="1"/>
  <c r="D55" i="10" s="1"/>
  <c r="B192" i="11"/>
  <c r="Q340" i="10"/>
  <c r="D340" i="10" s="1"/>
  <c r="H340" i="10" s="1"/>
  <c r="B240" i="11" s="1"/>
  <c r="B237" i="11"/>
  <c r="B109" i="11"/>
  <c r="B199" i="11"/>
  <c r="H242" i="10"/>
  <c r="Q242" i="10" s="1"/>
  <c r="Q243" i="10" s="1"/>
  <c r="D243" i="10" s="1"/>
  <c r="H154" i="10"/>
  <c r="B108" i="11" s="1"/>
  <c r="H151" i="10"/>
  <c r="B105" i="11" s="1"/>
  <c r="H280" i="10"/>
  <c r="B198" i="11" s="1"/>
  <c r="H217" i="10"/>
  <c r="B153" i="11" s="1"/>
  <c r="D31" i="10"/>
  <c r="Q32" i="10"/>
  <c r="D93" i="10"/>
  <c r="Q94" i="10"/>
  <c r="Q107" i="10" s="1"/>
  <c r="D107" i="10" s="1"/>
  <c r="B80" i="11" s="1"/>
  <c r="H305" i="10"/>
  <c r="Q305" i="10" s="1"/>
  <c r="Q306" i="10" s="1"/>
  <c r="D306" i="10" s="1"/>
  <c r="H343" i="10"/>
  <c r="B243" i="11" s="1"/>
  <c r="H214" i="10"/>
  <c r="B150" i="11" s="1"/>
  <c r="H91" i="10"/>
  <c r="B63" i="11" s="1"/>
  <c r="H116" i="10"/>
  <c r="Q116" i="10" s="1"/>
  <c r="Q117" i="10" s="1"/>
  <c r="D117" i="10" s="1"/>
  <c r="H26" i="10"/>
  <c r="B15" i="11" s="1"/>
  <c r="H88" i="10"/>
  <c r="B60" i="11" s="1"/>
  <c r="Q220" i="10"/>
  <c r="Q233" i="10" s="1"/>
  <c r="D233" i="10" s="1"/>
  <c r="B170" i="11" s="1"/>
  <c r="D219" i="10"/>
  <c r="H368" i="10"/>
  <c r="Q368" i="10" s="1"/>
  <c r="Q369" i="10" s="1"/>
  <c r="D369" i="10" s="1"/>
  <c r="Q45" i="10" l="1"/>
  <c r="D45" i="10" s="1"/>
  <c r="B35" i="11" s="1"/>
  <c r="Q283" i="10"/>
  <c r="Q296" i="10" s="1"/>
  <c r="D296" i="10" s="1"/>
  <c r="B215" i="11" s="1"/>
  <c r="Q346" i="10"/>
  <c r="Q359" i="10" s="1"/>
  <c r="D359" i="10" s="1"/>
  <c r="B260" i="11" s="1"/>
  <c r="D156" i="10"/>
  <c r="D157" i="10" s="1"/>
  <c r="B43" i="11"/>
  <c r="D220" i="10"/>
  <c r="H219" i="10"/>
  <c r="B155" i="11" s="1"/>
  <c r="B172" i="11"/>
  <c r="B180" i="11"/>
  <c r="B225" i="11"/>
  <c r="B217" i="11"/>
  <c r="B178" i="11"/>
  <c r="B262" i="11"/>
  <c r="B270" i="11"/>
  <c r="B82" i="11"/>
  <c r="B90" i="11"/>
  <c r="B223" i="11"/>
  <c r="H93" i="10"/>
  <c r="B65" i="11" s="1"/>
  <c r="D94" i="10"/>
  <c r="H31" i="10"/>
  <c r="B20" i="11" s="1"/>
  <c r="D32" i="10"/>
  <c r="B135" i="11"/>
  <c r="B127" i="11"/>
  <c r="B268" i="11"/>
  <c r="B88" i="11"/>
  <c r="D283" i="10"/>
  <c r="H282" i="10"/>
  <c r="B200" i="11" s="1"/>
  <c r="H345" i="10"/>
  <c r="B245" i="11" s="1"/>
  <c r="D346" i="10"/>
  <c r="B45" i="11"/>
  <c r="B37" i="11"/>
  <c r="B133" i="11"/>
  <c r="H156" i="10" l="1"/>
  <c r="B110" i="11" s="1"/>
  <c r="H32" i="10"/>
  <c r="B21" i="11" s="1"/>
  <c r="H220" i="10"/>
  <c r="B156" i="11" s="1"/>
  <c r="H346" i="10"/>
  <c r="B246" i="11" s="1"/>
  <c r="H283" i="10"/>
  <c r="B201" i="11" s="1"/>
  <c r="H94" i="10"/>
  <c r="B66" i="11" s="1"/>
  <c r="H157" i="10"/>
  <c r="B111" i="11" s="1"/>
</calcChain>
</file>

<file path=xl/sharedStrings.xml><?xml version="1.0" encoding="utf-8"?>
<sst xmlns="http://schemas.openxmlformats.org/spreadsheetml/2006/main" count="1272" uniqueCount="379">
  <si>
    <t xml:space="preserve">                                                                       PROCEDIMENTOS E ATOS DAS SERVENTIAS JUDICIAIS             </t>
  </si>
  <si>
    <t>Em caso de dúvida consulte aqui a Portaria</t>
  </si>
  <si>
    <t>Hoje</t>
  </si>
  <si>
    <t>Data Limite</t>
  </si>
  <si>
    <t>PROCESSO</t>
  </si>
  <si>
    <t>NOME DO FUNCIONÁRIO</t>
  </si>
  <si>
    <t>MATRÍCULA</t>
  </si>
  <si>
    <t>ATOS DAS SERVENTIAS JUDICIAIS</t>
  </si>
  <si>
    <r>
      <t xml:space="preserve">1. </t>
    </r>
    <r>
      <rPr>
        <b/>
        <sz val="10"/>
        <rFont val="Arial Narrow"/>
        <family val="2"/>
      </rPr>
      <t xml:space="preserve">Procedimento Ordinário </t>
    </r>
    <r>
      <rPr>
        <b/>
        <sz val="10"/>
        <color rgb="FF00B050"/>
        <rFont val="Arial Narrow"/>
        <family val="2"/>
      </rPr>
      <t>(ajuizado até 17/03/16)</t>
    </r>
    <r>
      <rPr>
        <b/>
        <sz val="10"/>
        <rFont val="Arial Narrow"/>
        <family val="2"/>
      </rPr>
      <t xml:space="preserve"> </t>
    </r>
    <r>
      <rPr>
        <b/>
        <sz val="10"/>
        <color rgb="FFFF0000"/>
        <rFont val="Arial Narrow"/>
        <family val="2"/>
      </rPr>
      <t>/</t>
    </r>
    <r>
      <rPr>
        <b/>
        <sz val="10"/>
        <rFont val="Arial Narrow"/>
        <family val="2"/>
      </rPr>
      <t xml:space="preserve"> </t>
    </r>
    <r>
      <rPr>
        <b/>
        <sz val="10"/>
        <color rgb="FFFF0000"/>
        <rFont val="Arial Narrow"/>
        <family val="2"/>
      </rPr>
      <t>Comum (ajuiz. após)</t>
    </r>
  </si>
  <si>
    <t>2. Procedimento Sumário</t>
  </si>
  <si>
    <t xml:space="preserve">4. Procedimentos Especiais </t>
  </si>
  <si>
    <t>b) Habilitação - Restauração de Autos</t>
  </si>
  <si>
    <t>c) Inventário, arrolamento ou sobrepartilha
 com bens a partilhar ou adjudicar 
(por monte bruto qualquer que seja o seu valor):</t>
  </si>
  <si>
    <t xml:space="preserve">              I. Sem bens imóveis</t>
  </si>
  <si>
    <t xml:space="preserve">                  II. Com um bem imóvel</t>
  </si>
  <si>
    <t>a) residencial com área construída 
igual ou inferior a 60 m² ou alternativamente, 
um lote de terreno de área igual ou inferior a 400 m²</t>
  </si>
  <si>
    <t>b) residencial com área 
construída superior a 60 m² ou, alternativamente, um lote de terreno de área superior a 400 m² e não superior a 2000 m²</t>
  </si>
  <si>
    <t xml:space="preserve">              III. Monte bruto, não enquadrável nas hipóteses anteriores</t>
  </si>
  <si>
    <t>d) Inventário ou arrolamento negativo</t>
  </si>
  <si>
    <t>e) Interdições</t>
  </si>
  <si>
    <t>f) Outros procedimentos</t>
  </si>
  <si>
    <t xml:space="preserve">5. Procedimentos Especiais de Jurisdição Voluntária </t>
  </si>
  <si>
    <t xml:space="preserve">a) Notificação - Interpelação </t>
  </si>
  <si>
    <t>b) Apresentação de Testamento - Codicilo</t>
  </si>
  <si>
    <t>c) Ação Declaratória de Ausência</t>
  </si>
  <si>
    <t>d) Outros procedimentos</t>
  </si>
  <si>
    <t>6. Ações de Família</t>
  </si>
  <si>
    <t>a. Separação - divórcio</t>
  </si>
  <si>
    <t xml:space="preserve">             I. Consensual</t>
  </si>
  <si>
    <t xml:space="preserve">             II. Litigioso</t>
  </si>
  <si>
    <t>b) Ações Relativas à Guarda de Menores (inclusive decorrentes de alienação parental)   Dissolução ou Reconhecimento de União Estável   Regulamentação de Visitas</t>
  </si>
  <si>
    <t>c) Ações Relativas à Paternidade (Filiação)</t>
  </si>
  <si>
    <t xml:space="preserve">             I. Reconhecimento</t>
  </si>
  <si>
    <t xml:space="preserve">             II. Investigação</t>
  </si>
  <si>
    <t>d) Anulação de Casamento</t>
  </si>
  <si>
    <t>e) Ações Relativas a Alimentos ‑ Adoção de Maiores ‑ Modificação de Regime de Bens</t>
  </si>
  <si>
    <t xml:space="preserve">f) Tutela ‑ Emancipação de Menores ‑ Suprimentos e Autorizações em Vara de Família </t>
  </si>
  <si>
    <t>g) Busca e Apreensão de Menor</t>
  </si>
  <si>
    <t>7. Procedimentos Cautelares/Tutelas Provisórias Antecedentes</t>
  </si>
  <si>
    <t>a) Arresto - Sequestro - Busca e Apreensão</t>
  </si>
  <si>
    <t>b) Ações realativa a Protestos  - Exibição Judicial</t>
  </si>
  <si>
    <t>c) Outros procedimentos cautelares</t>
  </si>
  <si>
    <t>8. Execução por Título Executivo Extrajudicial ou Judicial (vide art. 515, do CPC)</t>
  </si>
  <si>
    <t>9. Procedimentos em Espécie</t>
  </si>
  <si>
    <t>a) Recuperação judicial / Recuperação extrajudicial</t>
  </si>
  <si>
    <t>b) Falência - Insolvência Civil</t>
  </si>
  <si>
    <t>c) Ação Restitutória - Ação de Extinção de Obrigações</t>
  </si>
  <si>
    <t xml:space="preserve">d) Ação de Acidente de Trabalho acima  do limite de R$ 5632,69 </t>
  </si>
  <si>
    <t>e) Mandado de Segurança (por número de impetrantes)</t>
  </si>
  <si>
    <t>f) Busca e apreensão em alienação fiduciária em garantia (Decreto Lei 911/1969)</t>
  </si>
  <si>
    <t>g) Cancelamanto de Cláusula ou Gravames</t>
  </si>
  <si>
    <t>h) Autorização em Vara da Infância e da Juventude (diversões)</t>
  </si>
  <si>
    <t>i) Auto de Infração (ECA)</t>
  </si>
  <si>
    <t>j) Execução Fiscal -
k)Averbações, cancelamentos, retificações, anotações e dúvidas concernentes a Registro Públicos e Ofícios de Notas</t>
  </si>
  <si>
    <t xml:space="preserve">l) matrícula de periódicos, Oficinas Impressoras, Empresas de Radiodifusão e de Agenciamento de Notícias, Inclusive Alavará - Revogação de procuração  </t>
  </si>
  <si>
    <t>m) Sub-rogação, extinção de fideicomisso, liquidação de firma individual e apuração de haveres em sociedade</t>
  </si>
  <si>
    <t xml:space="preserve">          Valor do bem ou patrimônio líquido</t>
  </si>
  <si>
    <t>n) Alvarás ou mandados em procedimentos destinados exclusivamente a obtê-los</t>
  </si>
  <si>
    <t>o) Ação de Despejo   Ação Renovatória   Ação Revisional de Aluguel   Ação Popular   Ação Civil Pública   Ação de Sonegados   Ação de Adjudicação Compulsória</t>
  </si>
  <si>
    <t>p) Processos perante o Tribunal do Juri</t>
  </si>
  <si>
    <t>q) Processos por Crime Doloso</t>
  </si>
  <si>
    <t>r) Processos por Crime Culposo</t>
  </si>
  <si>
    <t>s) Processo por Contravenção - Reabilitação - Queixa Crime - Reclamação</t>
  </si>
  <si>
    <t>10. Procedimentos Incidentes</t>
  </si>
  <si>
    <t xml:space="preserve">a) Assistência - Denunciação a Lide - Chamamento ao Processo - Nomeação à Autoria - Desconsideração da Personalidade Jurídica, inclusive inversa </t>
  </si>
  <si>
    <t>b) Reconvenção (inclusive Pedido Contraposto) -
c) Impugnação ao valor da Causa ou Gratuidade de Justiça (incidente - CPC/1973) - Ajuizado até 17/03/16</t>
  </si>
  <si>
    <t>d) Liquidações de sentença - Habilitações em ações coletivas - Impugnações ao Cumprimento de sentença - Embargos (á arrematação, à Adjudicação e à Execução)</t>
  </si>
  <si>
    <t>e) Ação Declaratória Incidental (inclusive Incidente de Falsidade)</t>
  </si>
  <si>
    <t>f) Habilitações tempestivas - habilitção em inventário - Impugnação de Crédito - Impugnação ao Quadro Geral de Credores</t>
  </si>
  <si>
    <t>g) Habilitação Retardatária de Crédito</t>
  </si>
  <si>
    <t>h) Incidentes da execução penal - Medidas Assecutórias</t>
  </si>
  <si>
    <t>i) Prestação de Contas (Incidental) - Remoção de Inventariante</t>
  </si>
  <si>
    <t>j) Exceções (suspeição, impedimento e incompetência) / Arguições (suspeição e impedimento)</t>
  </si>
  <si>
    <t>11. Atos Processuais</t>
  </si>
  <si>
    <t>a) Cartas</t>
  </si>
  <si>
    <r>
      <t xml:space="preserve">I. De arrematação, adjudicação, de vênia ou de sentença ou arbitral (por página, inclusive segunda via).
</t>
    </r>
    <r>
      <rPr>
        <b/>
        <sz val="10.5"/>
        <rFont val="Arial Narrow"/>
        <family val="2"/>
      </rPr>
      <t>OBS: considerar esta custa para Mandado de Averbação ou de Registro</t>
    </r>
  </si>
  <si>
    <t>II. Precatória - de Ordem - Rogatória, para cumprimento neste Estado:</t>
  </si>
  <si>
    <t xml:space="preserve">          a) Inquiritória (Inserir o número de pessoas a serem ouvidas)</t>
  </si>
  <si>
    <t xml:space="preserve">          b) Outras finalidades</t>
  </si>
  <si>
    <r>
      <t xml:space="preserve">b) Certidões (por folha com 30 linhas) - </t>
    </r>
    <r>
      <rPr>
        <b/>
        <sz val="10"/>
        <rFont val="Arial"/>
        <family val="2"/>
      </rPr>
      <t>inserir nº de folhas</t>
    </r>
  </si>
  <si>
    <t>c) Litisconsórcio Facultativo (ativo ou passivo, por litisconsorte excedente)</t>
  </si>
  <si>
    <t>e) Conferência de fotocópias ou de outros meios reprográficos, por folha.
OBS: Desarquivamento (letra "d"): ver mais abaixo</t>
  </si>
  <si>
    <t>g) Arrematação (valor da arrematação)</t>
  </si>
  <si>
    <t>h) Diligências Pessoais</t>
  </si>
  <si>
    <t>I. do Serventuário</t>
  </si>
  <si>
    <t>II. do Magistrado</t>
  </si>
  <si>
    <t>i) Por formal de partilha que exceder de um, inclusive segundas vias</t>
  </si>
  <si>
    <t>j) Termo de penhora</t>
  </si>
  <si>
    <t>k) Por alvará ou mandado que exceder de 4 (quatro) em um mesmo processo, em feitos de competência orfanológica</t>
  </si>
  <si>
    <t>l) Por guia de depósito judicial ou mandado de pagamento extraído</t>
  </si>
  <si>
    <t>12. Custas de 2 Ofícios Eletrônicos  somente no caso de se tratar de mandado enviado eletronicamente para Comarca diversa, neste Estado.</t>
  </si>
  <si>
    <t>TOTAL</t>
  </si>
  <si>
    <t>DESARQUIVAMENTO</t>
  </si>
  <si>
    <t>TAB. 01.II.9.d Desarquivamento de autos (apensos inclusos no valor)</t>
  </si>
  <si>
    <t>PORTE DE REMESSA / RETORNO</t>
  </si>
  <si>
    <t>TAB. 01.II.9.p Porte de Remessa e Retorno (por gurpo de 200 folas ou fração excedente, inclusive apensos)</t>
  </si>
  <si>
    <t>Precatória (Outro Estado)</t>
  </si>
  <si>
    <t>ATOS DOS OFICIAIS DE JUSTIÇA</t>
  </si>
  <si>
    <t>1. Citação (por ato) - Intimação (por ato) - Notificação (por ato)</t>
  </si>
  <si>
    <r>
      <rPr>
        <b/>
        <sz val="10"/>
        <rFont val="Arial"/>
        <family val="2"/>
      </rPr>
      <t>2) Verificação, Despejo, Busca e Apreensão, Imissão ou Reintegração de Posse e Arrolamento de bens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(por endereço)</t>
    </r>
  </si>
  <si>
    <t>3. Praça ou Leilão Judicial</t>
  </si>
  <si>
    <t>Valor dos bens</t>
  </si>
  <si>
    <t>4. Penhora - Seqüestro - Arresto - Outras diligências não especificadas (por endereço)</t>
  </si>
  <si>
    <t xml:space="preserve">DESPESAS ELETRÔNICAS- MANDADO ELETRÔNICO POR OFICIAL DE JUSTIÇA </t>
  </si>
  <si>
    <t>Vide Anexo 4 da Portaria</t>
  </si>
  <si>
    <t>1. Processo Físico</t>
  </si>
  <si>
    <r>
      <t xml:space="preserve">a. Número de atos -mandado de Citação/Notificação (com ou sem intimação) - </t>
    </r>
    <r>
      <rPr>
        <sz val="10"/>
        <color rgb="FF0070C0"/>
        <rFont val="Arial"/>
        <family val="2"/>
      </rPr>
      <t>Conforme Anexo IV, item 1.1</t>
    </r>
  </si>
  <si>
    <r>
      <t xml:space="preserve">b. Número de atos -mandado de Intimação ou outras diligências - </t>
    </r>
    <r>
      <rPr>
        <sz val="10"/>
        <color rgb="FF0070C0"/>
        <rFont val="Arial"/>
        <family val="2"/>
      </rPr>
      <t>Cf.</t>
    </r>
  </si>
  <si>
    <t>Anexo IV, item 1.2</t>
  </si>
  <si>
    <t>2. Processo Eletrônico</t>
  </si>
  <si>
    <r>
      <t>a. Número de atos- mandado de citação/Notificação(com ou sem intimação), Intimação ou outras diligências-</t>
    </r>
    <r>
      <rPr>
        <sz val="8.5"/>
        <color rgb="FF0070C0"/>
        <rFont val="Arial"/>
        <family val="2"/>
      </rPr>
      <t>Cf. Anexo IV, item 2.1</t>
    </r>
  </si>
  <si>
    <r>
      <t>3. Número de páginas impressas/Contrafé</t>
    </r>
    <r>
      <rPr>
        <b/>
        <sz val="8.5"/>
        <rFont val="Arial"/>
        <family val="2"/>
      </rPr>
      <t>-</t>
    </r>
    <r>
      <rPr>
        <sz val="8.5"/>
        <color rgb="FF0070C0"/>
        <rFont val="Arial"/>
        <family val="2"/>
      </rPr>
      <t>Cf. Anexo IV, item 1.1, alínea "B", parte final; e item 2.1, alínea "B", parte final</t>
    </r>
  </si>
  <si>
    <r>
      <t xml:space="preserve">OBS: Havendo mandado expedido para </t>
    </r>
    <r>
      <rPr>
        <b/>
        <i/>
        <u/>
        <sz val="10.5"/>
        <color rgb="FFDA0000"/>
        <rFont val="Arial"/>
        <family val="2"/>
      </rPr>
      <t>Comarca Diversa</t>
    </r>
    <r>
      <rPr>
        <b/>
        <i/>
        <sz val="10.5"/>
        <color rgb="FFDA0000"/>
        <rFont val="Arial"/>
        <family val="2"/>
      </rPr>
      <t xml:space="preserve">: PARA </t>
    </r>
    <r>
      <rPr>
        <b/>
        <i/>
        <u/>
        <sz val="10.5"/>
        <color rgb="FFDA0000"/>
        <rFont val="Arial"/>
        <family val="2"/>
      </rPr>
      <t>CADA MANDADO</t>
    </r>
    <r>
      <rPr>
        <b/>
        <i/>
        <sz val="10.5"/>
        <color rgb="FFDA0000"/>
        <rFont val="Arial"/>
        <family val="2"/>
      </rPr>
      <t xml:space="preserve"> EXPEDIDO --&gt; COMPUTAR </t>
    </r>
    <r>
      <rPr>
        <b/>
        <i/>
        <u/>
        <sz val="10.5"/>
        <color rgb="FFDA0000"/>
        <rFont val="Arial"/>
        <family val="2"/>
      </rPr>
      <t>02 OFÍCIOS ELETRÔNICOS</t>
    </r>
    <r>
      <rPr>
        <b/>
        <i/>
        <sz val="10.5"/>
        <color rgb="FFDA0000"/>
        <rFont val="Arial"/>
        <family val="2"/>
      </rPr>
      <t xml:space="preserve"> no item 8, alínea "b", na Tabela abaixo.</t>
    </r>
  </si>
  <si>
    <t xml:space="preserve">DESPESAS DE PROCESSAMENTO ELETRÔNICO </t>
  </si>
  <si>
    <t>Vide Tabela 4 da Portaria</t>
  </si>
  <si>
    <t>1. Número de cópias digitais de registros fonográficos e audiovisuais de audiências com o fornecimento do CD-ROM pelo TJRJ</t>
  </si>
  <si>
    <t xml:space="preserve">2. Número de documento digitalizados no âmbito deste Poder Judiciário </t>
  </si>
  <si>
    <t xml:space="preserve">3. Número de declarações transcritas registradas nas gravações eletrônicas de audiência </t>
  </si>
  <si>
    <t>4. Número de certidões das trancrições realizadas</t>
  </si>
  <si>
    <t>4.1. Número de folhas excedentes referentes as certidões (item 4)</t>
  </si>
  <si>
    <t>5. Número de cópias do processamento eletrônico (a ser fornecida em mídia)</t>
  </si>
  <si>
    <t>6. Número de páginas impressas referentes a processo/processamento eletrônico - mediante solicitação das partes ou para a instrução de um documento processual (como carta de sentença ou formal de partilha)</t>
  </si>
  <si>
    <t xml:space="preserve">7. Número de cópias extraídas de documentos contidos em mídias diversas, pelo TJ/RJ </t>
  </si>
  <si>
    <t xml:space="preserve">8. Número de envios eletrônicos efetuados: 
</t>
  </si>
  <si>
    <t>a. Citação/Notificação ou Intimação (eletrônicas) pelo portal do TJ</t>
  </si>
  <si>
    <t>b. Ofícios (eletrônicos)</t>
  </si>
  <si>
    <t xml:space="preserve">9. Número de atos referentes à requisição de informações por meio eletrônico para efetivação de penhora, arresto e obtenção de dados da parte 
</t>
  </si>
  <si>
    <t>10. Número de petições ou recursos transmitidos por via FAX</t>
  </si>
  <si>
    <t>11. Número de folhas fotocopiadas de decisão judicial não publicada, solicitada por advogado constituido nos autos</t>
  </si>
  <si>
    <t>VIA POSTAL E OFÍCIOS</t>
  </si>
  <si>
    <t>TAB. 01.II.11.f Citação, intimação, notificação ou remessa de ofício, através dos correios (por A.R.) ou outro meio usual de comunicação - Extração de edital (excluídas as despesas de publicação de editais)</t>
  </si>
  <si>
    <t>Via Postal (4,81) -até 06/06/2011</t>
  </si>
  <si>
    <t>AUXILIARES DA JUSTIÇA</t>
  </si>
  <si>
    <t>ATOS DOS CONTADORES JUDICIAIS</t>
  </si>
  <si>
    <t>OBS: PARA "MEDIAÇÃO/CONCILIAÇÃO", VER APÓS TAXA JUD.</t>
  </si>
  <si>
    <t>1. Conta de custas e verificações da exatidão de seu recolhimento</t>
  </si>
  <si>
    <t>2. Outros cálculos e verificações não compreendidos acima</t>
  </si>
  <si>
    <t>3. As custas serão divididas pela metade</t>
  </si>
  <si>
    <t>a) em caso de litisconsortes com condenações distintas nos cálculos que devam apurá-los</t>
  </si>
  <si>
    <t>b) em caso de reajustamento de cálculo anterior</t>
  </si>
  <si>
    <t>ATOS DOS DEPOSITÁRIOS JUDICIAIS E DOS DEPOSITÁRIOS PÚBLICOS</t>
  </si>
  <si>
    <t>1. Sobre os rendimentos líquidos bens depositados</t>
  </si>
  <si>
    <t>Rendimentos Líquidos</t>
  </si>
  <si>
    <t>2. Sobre o valor dos bens móveis ou imóveis depositados ou submetidos à administração</t>
  </si>
  <si>
    <t>3. Armazenagem considerando o valor do bem</t>
  </si>
  <si>
    <t>Valor do bem</t>
  </si>
  <si>
    <t xml:space="preserve">                   a) 01 até 06 meses</t>
  </si>
  <si>
    <t xml:space="preserve">                   b) 06 até 12 meses</t>
  </si>
  <si>
    <t>c) excedente de 12 meses (digitar o nº de meses excedentes)</t>
  </si>
  <si>
    <t>OBS: Sobre  a gestão dos bens imóveis depositados observar o s valores do item 2 acima.</t>
  </si>
  <si>
    <t>ATOS DOS LIQUIDANTES JUDICIAS</t>
  </si>
  <si>
    <t>Sobre o Ativo verificado; sobre os valores recebidos para dar destino imediato</t>
  </si>
  <si>
    <t>Valor ativo verificado ou para dar detino imediato</t>
  </si>
  <si>
    <t>ATOS DOS TESTAMENTEIROS E TUTORES JUDICIAIS</t>
  </si>
  <si>
    <t>1. Como testamenteiro, a vintena arbitrada na forma da Lei Civil</t>
  </si>
  <si>
    <t>2. Como tutor, sobre a receita líquida</t>
  </si>
  <si>
    <t>Receita líquida</t>
  </si>
  <si>
    <t>AVALIADORES JUDICIAIS (inclusive avaliação feita por OJA)</t>
  </si>
  <si>
    <t>Custas divididas a metade</t>
  </si>
  <si>
    <t>a) Quando incidir sobre o único imóvel residencial com área construída igual ou inferior a 100 m²</t>
  </si>
  <si>
    <t>b) Quando incidir sobre fração ideal de bem ou direito igual ou inferior a 50%</t>
  </si>
  <si>
    <t>Quem realizou a Avaliação</t>
  </si>
  <si>
    <t>Capital - Central de Avaliadores</t>
  </si>
  <si>
    <t>Interior - Avaliador Judicial</t>
  </si>
  <si>
    <t>Capital e Interior - Oficial de Justiça</t>
  </si>
  <si>
    <t>Avaliação</t>
  </si>
  <si>
    <t>1. Imóvel urbano (inclusive benfeitorias e terrenos)</t>
  </si>
  <si>
    <t>Edificado (por unidade autônoma)</t>
  </si>
  <si>
    <t>Não edificado</t>
  </si>
  <si>
    <t>2. Estabelecimentos agrícolas, comerciais e industriais; imóveis rurais</t>
  </si>
  <si>
    <t>3. Coleções</t>
  </si>
  <si>
    <t>4. Outros bens não especificados (por unidade)</t>
  </si>
  <si>
    <t xml:space="preserve">Retificação de laudo por erro ou omissão na descrição dos bens pelo interessado </t>
  </si>
  <si>
    <t>O ano não está correto para o intervalo</t>
  </si>
  <si>
    <t>ANO</t>
  </si>
  <si>
    <t>Valor minimo da taxa</t>
  </si>
  <si>
    <t>TAXA JUDICIÁRIA (Inclusive Pedido Contraposto)</t>
  </si>
  <si>
    <t>Valor maximo da taxa</t>
  </si>
  <si>
    <t>Em caso de dúvida consulte aqui</t>
  </si>
  <si>
    <t>Pedido COM Conteúdo Econômico líquido</t>
  </si>
  <si>
    <t>Pedido em Salário Mínimo (digitar o nº de salários pedidos)</t>
  </si>
  <si>
    <t>Pedido com valor</t>
  </si>
  <si>
    <t>Impugnação ao Cumprimento da Sentença</t>
  </si>
  <si>
    <t>Diferença de Taxa (não calcula com taxa mínima)</t>
  </si>
  <si>
    <t>Honorários Advocatícios - inserir o percentual</t>
  </si>
  <si>
    <t>Subtotal</t>
  </si>
  <si>
    <t>OBRIGAÇÕES DE TRATO SUCESSIVO</t>
  </si>
  <si>
    <t>DESPEJO</t>
  </si>
  <si>
    <t>Ação de Despejo - Inserir o valor do aluguel</t>
  </si>
  <si>
    <t>Ação de Despejo c/Cobrança - Inserir valor do Aluguel</t>
  </si>
  <si>
    <t xml:space="preserve">                                                              Inserir valor da Cobrança</t>
  </si>
  <si>
    <t xml:space="preserve">                                                              Inserir percentual dos honorários</t>
  </si>
  <si>
    <t>Multiplicar pela taxa mínima</t>
  </si>
  <si>
    <t>RENOVATÓRIA DE ALUGUEL</t>
  </si>
  <si>
    <t>Ação Renovatória de Aluguel - Inserir o valor do aluguel</t>
  </si>
  <si>
    <t>ALIMENTOS</t>
  </si>
  <si>
    <t>1) Oferecimento de Alimentos  - Inserir o valor Oferecido</t>
  </si>
  <si>
    <t>2) Revisão de Alimentos - Inserir o valor da Diferença entre o que se paga e o que se pretende pagar</t>
  </si>
  <si>
    <t>3) Exoneração de Alimentos - Inserir valor da prestação alimentar que se pretende exonerar</t>
  </si>
  <si>
    <t xml:space="preserve">4) Alimentos cumulados com Investigação de Paternidade  </t>
  </si>
  <si>
    <t xml:space="preserve">                                        4.1) Inserir valor dos Alimentos </t>
  </si>
  <si>
    <t xml:space="preserve">                                        4.2) Inserir o número de requerentes</t>
  </si>
  <si>
    <t>5) Honorários Advocatícios - inserir o percentual</t>
  </si>
  <si>
    <t>EXECUÇÃO DE ALIMENTOS</t>
  </si>
  <si>
    <t>1) Primeira Execução</t>
  </si>
  <si>
    <t>1.1) Inserir valor da prestação alimentícia</t>
  </si>
  <si>
    <t xml:space="preserve">                                                            1,2) Inserir valor do débito</t>
  </si>
  <si>
    <t>2) Demais Execuções</t>
  </si>
  <si>
    <t xml:space="preserve">                                                            2.1) Inserir o valor do débito</t>
  </si>
  <si>
    <t>Pedido COM Conteúdo Econômico Ilíquido</t>
  </si>
  <si>
    <t>Pedido(s)</t>
  </si>
  <si>
    <t xml:space="preserve">Pedidos SEM Conteúdo Econômico </t>
  </si>
  <si>
    <r>
      <rPr>
        <b/>
        <sz val="10"/>
        <rFont val="Arial"/>
        <family val="2"/>
      </rPr>
      <t>Pedido(s)</t>
    </r>
    <r>
      <rPr>
        <sz val="10"/>
        <rFont val="Arial"/>
        <family val="2"/>
      </rPr>
      <t xml:space="preserve">
OBS: o resultado deverá ser multiplicado por autor/requerente</t>
    </r>
  </si>
  <si>
    <t>TOTAL TAXA JUDICIARIA</t>
  </si>
  <si>
    <t>MEDIAÇÃO/CONCILIAÇÃO</t>
  </si>
  <si>
    <t>Vide Tabela 3 da Portaria</t>
  </si>
  <si>
    <t>Número de Audiências</t>
  </si>
  <si>
    <t>LITIGÂNCIA DE MÁ-FÉ</t>
  </si>
  <si>
    <t>Multa para Litigância de Má-Fé</t>
  </si>
  <si>
    <t>ATOS DOS PERITOS</t>
  </si>
  <si>
    <t>1. Avaliações</t>
  </si>
  <si>
    <t>a) de caução, multa ou de valor sobre o qual esta deve incidir</t>
  </si>
  <si>
    <t>b) do valor da causa - de honorários devidos a profissionais liberais ou de remuneração por serviços de outra natureza - de pensões alimentícias - de frutos e interesses</t>
  </si>
  <si>
    <t>2. Perícia ou vistoria em bens imóveis, móveis ou semoventes, inclusive avaliação de perdas e danos - perícias grafotécnicas ou similares; perícias contábeis - perícias médicas</t>
  </si>
  <si>
    <t>Reembolso de Auxílio Pericial</t>
  </si>
  <si>
    <t>ATOS DOS DISTRIBUIDORES</t>
  </si>
  <si>
    <t>CONTAS DE DISTRIBUIDOR</t>
  </si>
  <si>
    <t>DEMAIS COMARCAS DO INTERIOR</t>
  </si>
  <si>
    <t>COMARCA DE NITERÓI</t>
  </si>
  <si>
    <t>COMARCA DE CAMPOS</t>
  </si>
  <si>
    <t>COMARCA DA CAPITAL - FAZENDA PÚBLICA</t>
  </si>
  <si>
    <t>COMARCA DA CAPITAL - OUTRAS COMPETÊNCIAS</t>
  </si>
  <si>
    <t>ATOS DE REGISTRO E BAIXA</t>
  </si>
  <si>
    <t>Registro</t>
  </si>
  <si>
    <t>Baixa</t>
  </si>
  <si>
    <t>Número de NOMES no processo</t>
  </si>
  <si>
    <t>ATOS DOS DISTRIBUIDORES - PRECATÓRIA</t>
  </si>
  <si>
    <t>S E C R E T A R I A   D O   T R I B U N A L</t>
  </si>
  <si>
    <r>
      <t xml:space="preserve">LEI Nº 6369 DE 20 de Dezembro de 2012 </t>
    </r>
    <r>
      <rPr>
        <b/>
        <sz val="12"/>
        <color rgb="FFFF0000"/>
        <rFont val="Arial"/>
        <family val="2"/>
      </rPr>
      <t>(valores abaixo atualiazados para 2017)</t>
    </r>
  </si>
  <si>
    <t>ATOS DA SECRETARIA DO TRIBUNAL</t>
  </si>
  <si>
    <t>1. Ação Penal Originária - Ação Rescisória</t>
  </si>
  <si>
    <t>2. Pedido de Intervenção - Representação ou Argüição de Inconstitucionalidade - Ação de Constitucionalidade - Uniformização de Jurisprudência - Suspensão de Liminar ou Execução de Sentença Proferida em Mandado de Segurança - Mandado de Injunção- Incidente de Assunção de Competência</t>
  </si>
  <si>
    <t>3. Conflito de Competência - Desaforamento - Revisão Criminal</t>
  </si>
  <si>
    <t>4. Recursos:
- Cíveis ( inclusive as questões que sejam suscitadas através de contrarrazões nos moldes do § 1º, do art. 1009, do CPC/2015);
- Criminais; e
- Hierárquicos</t>
  </si>
  <si>
    <t>Recursos Cíveis e Criminais (protocolizados até 13/03/2016)</t>
  </si>
  <si>
    <t>TAB. 01.II.7.f Mandado de Segurança (por impetrante)</t>
  </si>
  <si>
    <t>Reclamações e Exceções</t>
  </si>
  <si>
    <t>Recurso em Sentido Estrito</t>
  </si>
  <si>
    <t>Restauração de Autos</t>
  </si>
  <si>
    <t>TAB. 01.II.9.b Certidão (por folha com 30 linhas) - inserir nº de folhas</t>
  </si>
  <si>
    <t>Porte de Remessa/Retorno - Recurso Especial</t>
  </si>
  <si>
    <t>Porte de Remessa/Retorno - Recurso Extraordinário</t>
  </si>
  <si>
    <t>C Á L C U L O    D O   P O R T E   D E   R E M E S S A    E   R E T O R N O</t>
  </si>
  <si>
    <t>RECURSO ESPECIAL</t>
  </si>
  <si>
    <t>RECURSO EXTRAORDINÁRIO</t>
  </si>
  <si>
    <t>Número de Folhas / Peso (Kg)</t>
  </si>
  <si>
    <t>Até 180 (1Kg)</t>
  </si>
  <si>
    <t>Até 54 (0,3 Kg)</t>
  </si>
  <si>
    <t>181 a 360 (2 Kg)</t>
  </si>
  <si>
    <t>55 a 180 (1 Kg)</t>
  </si>
  <si>
    <t>361 a 540 (3 Kg)</t>
  </si>
  <si>
    <t>541 a 720 (4 Kg)</t>
  </si>
  <si>
    <t>721 a 900 (5 Kg)</t>
  </si>
  <si>
    <t>901 a 1080 (6 Kg)</t>
  </si>
  <si>
    <t>1081 a 1260 (7 Kg)</t>
  </si>
  <si>
    <t>Acima de 1260 fls (por lote adicional de 180 fls.)</t>
  </si>
  <si>
    <t>1261 a 1440 (8 Kg)</t>
  </si>
  <si>
    <t>1441 a 1620 (9 Kg)</t>
  </si>
  <si>
    <t>1621 a 1800 (10 Kg)</t>
  </si>
  <si>
    <t>1801 a 1980 (11 Kg)</t>
  </si>
  <si>
    <t>1981 a 2160 (12 Kg)</t>
  </si>
  <si>
    <t>2161 a 2340 (13 Kg)</t>
  </si>
  <si>
    <t>2341 a 2520 (14 Kg)</t>
  </si>
  <si>
    <t>2521 a 2700 (15Kg)</t>
  </si>
  <si>
    <t>2701 a 2880 (16 Kg)</t>
  </si>
  <si>
    <t>2881 a 3060 (17 Kg)</t>
  </si>
  <si>
    <t>3061 a 3240 (18 Kg)</t>
  </si>
  <si>
    <t>3241 a 3420 (19 Kg)</t>
  </si>
  <si>
    <t>3421 a 3600 (20 Kg)</t>
  </si>
  <si>
    <t>3601 a 3780 (21 Kg)</t>
  </si>
  <si>
    <t>3781 a 3960 (22 Kg)</t>
  </si>
  <si>
    <t>3961 a 4140 (23 Kg)</t>
  </si>
  <si>
    <t>4141 a 4320 (24 Kg)</t>
  </si>
  <si>
    <t>4321 a 4500 (25 Kg)</t>
  </si>
  <si>
    <t>4501  a 4680 (26 Kg)</t>
  </si>
  <si>
    <t>4681 a 4860 (27 (Kg)</t>
  </si>
  <si>
    <t>4861 a 5040 (28 Kg)</t>
  </si>
  <si>
    <t>5041 a 5220 (29 Kg)</t>
  </si>
  <si>
    <t>5221 a 5400 (30 Kg)</t>
  </si>
  <si>
    <t>C O N V E R S O R  D E  V A L O R E S (U F I R)</t>
  </si>
  <si>
    <t>GRERJ</t>
  </si>
  <si>
    <t>DATA (dd/mm/aaaa)</t>
  </si>
  <si>
    <t>/</t>
  </si>
  <si>
    <t>FOLHAS</t>
  </si>
  <si>
    <t>fundperj</t>
  </si>
  <si>
    <t>funperj</t>
  </si>
  <si>
    <t>Marcar se o pagamento da GRERJ foi anterior a 1/07/2006</t>
  </si>
  <si>
    <t>Marcar se a GRERJ foi paga entre 01/07/2006 a 31/12/2006</t>
  </si>
  <si>
    <t>Marcar se a GRERJ foi paga entre 01/01/2007 a 14/02/2007</t>
  </si>
  <si>
    <t>CÓDIGO DA RECEITA</t>
  </si>
  <si>
    <t>TIPO DE RECEITA</t>
  </si>
  <si>
    <t>VALOR NA GRERJ</t>
  </si>
  <si>
    <t>VALOR ATUALIZADO</t>
  </si>
  <si>
    <t>SOMA</t>
  </si>
  <si>
    <t>1102-3</t>
  </si>
  <si>
    <t>Atos dos Escrivães</t>
  </si>
  <si>
    <t>Distribuição anterior a 2007</t>
  </si>
  <si>
    <t>1104-9</t>
  </si>
  <si>
    <t>Porte de Remessa e de Retorno</t>
  </si>
  <si>
    <t>1111-4</t>
  </si>
  <si>
    <t>Desarquivamento de autos</t>
  </si>
  <si>
    <t>1107-2</t>
  </si>
  <si>
    <t>Atos dos OJAs</t>
  </si>
  <si>
    <t>1110-6</t>
  </si>
  <si>
    <t>Via Postal</t>
  </si>
  <si>
    <t>1109-8</t>
  </si>
  <si>
    <t>Atos dos Auxiliares do Juízo</t>
  </si>
  <si>
    <t>2001-6</t>
  </si>
  <si>
    <t>CAARJ / IAB</t>
  </si>
  <si>
    <t>Atos dos Distribuidores</t>
  </si>
  <si>
    <t>Distribuidores (Aviso TJ Nº 22/2013)</t>
  </si>
  <si>
    <t>6246-0088009-4</t>
  </si>
  <si>
    <t>FETJ</t>
  </si>
  <si>
    <t>2101-4</t>
  </si>
  <si>
    <t>Taxa Judiciária</t>
  </si>
  <si>
    <t>6898-208-9</t>
  </si>
  <si>
    <t>FUNPERJ</t>
  </si>
  <si>
    <t>6898-215-1</t>
  </si>
  <si>
    <t>FUNDPERJ</t>
  </si>
  <si>
    <t>2211-1</t>
  </si>
  <si>
    <t>2210-3</t>
  </si>
  <si>
    <t>2212-9</t>
  </si>
  <si>
    <t>Diversos</t>
  </si>
  <si>
    <t>6246-0088011-6</t>
  </si>
  <si>
    <t>Mediação/Conciliação</t>
  </si>
  <si>
    <t>Somatório</t>
  </si>
  <si>
    <t>Marcar se o pagamento da GRERJ foi anterior a 1/01/2007</t>
  </si>
  <si>
    <t>1101-5</t>
  </si>
  <si>
    <t>Atos da Secretaria do Tribunal</t>
  </si>
  <si>
    <t>Porte de Rermessa e Retorno</t>
  </si>
  <si>
    <t>G R E R J COM VALORES CORRIGIDOS E SOMADOS</t>
  </si>
  <si>
    <t xml:space="preserve">        Preencher o espaço em branco caso o percentual entre as partes seja diferente</t>
  </si>
  <si>
    <t>NOME DA PARTE</t>
  </si>
  <si>
    <r>
      <t xml:space="preserve"> PERCENTUAL </t>
    </r>
    <r>
      <rPr>
        <b/>
        <i/>
        <sz val="10"/>
        <rFont val="Arial"/>
        <family val="2"/>
      </rPr>
      <t>PRO RATA</t>
    </r>
  </si>
  <si>
    <t>%</t>
  </si>
  <si>
    <t>VALORES SOMADOS E CORRIGIDOS</t>
  </si>
  <si>
    <t>VALORES CALCULADOS</t>
  </si>
  <si>
    <t xml:space="preserve">Marcar o campo ao lado se deseja desconsiderar o valor somado e corrigido </t>
  </si>
  <si>
    <t>Porte de Remessa e Retorno</t>
  </si>
  <si>
    <t>Estado do Rio de Janeiro</t>
  </si>
  <si>
    <t>Poder Judiciário</t>
  </si>
  <si>
    <t>Tribunal de Justiça</t>
  </si>
  <si>
    <t>Comarca da Capital</t>
  </si>
  <si>
    <t>Divisão de Processamento Esp. E Arquivamento - DIPEA</t>
  </si>
  <si>
    <t>Av. Erasmo Braga, 115, 4º andar 421, Bl-F CEP: 20020-903 - Castelo - Rio de Janeiro - RJ</t>
  </si>
  <si>
    <t>Tel.: 3133-2008</t>
  </si>
  <si>
    <t>Processo:</t>
  </si>
  <si>
    <t>CERTIDÃO</t>
  </si>
  <si>
    <t xml:space="preserve">             Certifico que as custas abaixo são devidas pela parte:</t>
  </si>
  <si>
    <t>DIFERENÇA DE RECOLHIMENTO</t>
  </si>
  <si>
    <t>SITUAÇÃO DO RECOLHIMENTO</t>
  </si>
  <si>
    <t>VALOR NA(s) GRERJ(s)</t>
  </si>
  <si>
    <t>VALOR CALCULADO</t>
  </si>
  <si>
    <t xml:space="preserve">Atos dos Escrivães </t>
  </si>
  <si>
    <t>6898-0000208-9</t>
  </si>
  <si>
    <t>6898-0000215-1</t>
  </si>
  <si>
    <t>VALOR DEVIDO</t>
  </si>
  <si>
    <t xml:space="preserve">Observação: </t>
  </si>
  <si>
    <t>GRERJ 2ª Instância</t>
  </si>
  <si>
    <t>Rio de Janeiro,</t>
  </si>
  <si>
    <t>Correção de Valores para anos entre 1999 e 2016</t>
  </si>
  <si>
    <t>Registro (até 13/03/2016)</t>
  </si>
  <si>
    <t>Baixa (até 13/03/2016)</t>
  </si>
  <si>
    <t>Preencher com os valores declarados na GRERJ para os anos entre 1999 a 2018</t>
  </si>
  <si>
    <t>Texto (Se precisar, altere as partes aqui!)</t>
  </si>
  <si>
    <t>Intime-se a parte</t>
  </si>
  <si>
    <t>via D.J.E.R.J., para recolher as custas certificadas abaixo, segundo art. 31 da lei Estadual nº 3.350/99 (lei 6.369/2012). Havendo comprovação, dê-se baixa e arquive-se. Não havendo comprovação do recolhimento, expeça-se certidão ao FETJ. Após, arquive-se com ou sem baixa, conforme o caso."</t>
  </si>
  <si>
    <t>a) Consignação em Pagamento - Ação de Prestar e de Exigir Contas
Ações Possessórias - Depósito - Divisão e Demarcação de Terras Particulares
- Dissolução Parcial de Sociedade - Embargos de Terceiro - Oposição - Monitória - Regulação de Avaria Grossa - Usucapião - Homologação de Penhor Legal</t>
  </si>
  <si>
    <r>
      <t xml:space="preserve">           PORTARIA CGJ nº 2.683/2016 - Versão 20.0 de 14/01/2017
</t>
    </r>
    <r>
      <rPr>
        <b/>
        <sz val="10"/>
        <color rgb="FFC00000"/>
        <rFont val="Arial"/>
        <family val="2"/>
      </rPr>
      <t>IMPORTANTE: Sempre verifique no site do TJRJ se a versão impressa do documento está atualizada.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</si>
</sst>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dddd&quot;, &quot;d&quot; de &quot;mmmm&quot; de &quot;yyyy"/>
  </numFmts>
  <fonts count="51" x14ac:knownFonts="1">
    <font>
      <sz val="10"/>
      <name val="Arial"/>
      <family val="2"/>
    </font>
    <font>
      <b/>
      <sz val="15"/>
      <color indexed="56"/>
      <name val="Calibri"/>
      <family val="2"/>
    </font>
    <font>
      <sz val="14"/>
      <name val="Arial"/>
      <family val="2"/>
    </font>
    <font>
      <sz val="12"/>
      <name val="Arial"/>
      <family val="2"/>
    </font>
    <font>
      <sz val="22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16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sz val="10"/>
      <color indexed="22"/>
      <name val="Arial"/>
      <family val="2"/>
    </font>
    <font>
      <sz val="10"/>
      <color indexed="55"/>
      <name val="Arial"/>
      <family val="2"/>
    </font>
    <font>
      <b/>
      <sz val="11"/>
      <color indexed="9"/>
      <name val="Calibri"/>
      <family val="2"/>
    </font>
    <font>
      <b/>
      <u/>
      <sz val="10"/>
      <color indexed="51"/>
      <name val="Arial"/>
      <family val="2"/>
    </font>
    <font>
      <u/>
      <sz val="10"/>
      <color indexed="12"/>
      <name val="Arial"/>
      <family val="2"/>
    </font>
    <font>
      <b/>
      <sz val="11"/>
      <color indexed="16"/>
      <name val="Calibri"/>
      <family val="2"/>
    </font>
    <font>
      <b/>
      <sz val="11"/>
      <color indexed="8"/>
      <name val="Calibri"/>
      <family val="2"/>
    </font>
    <font>
      <sz val="10"/>
      <color indexed="16"/>
      <name val="Arial"/>
      <family val="2"/>
    </font>
    <font>
      <b/>
      <sz val="10"/>
      <color indexed="8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7.5"/>
      <name val="Arial"/>
      <family val="2"/>
    </font>
    <font>
      <b/>
      <sz val="10"/>
      <name val="Arial Narrow"/>
      <family val="2"/>
    </font>
    <font>
      <b/>
      <sz val="10"/>
      <color rgb="FF00B050"/>
      <name val="Arial Narrow"/>
      <family val="2"/>
    </font>
    <font>
      <b/>
      <sz val="10"/>
      <color rgb="FFFF0000"/>
      <name val="Arial Narrow"/>
      <family val="2"/>
    </font>
    <font>
      <sz val="10"/>
      <name val="Arial Narrow"/>
      <family val="2"/>
    </font>
    <font>
      <b/>
      <i/>
      <sz val="11"/>
      <color theme="1"/>
      <name val="Arial"/>
      <family val="2"/>
    </font>
    <font>
      <b/>
      <u/>
      <sz val="10"/>
      <color rgb="FFFFFF00"/>
      <name val="Arial"/>
      <family val="2"/>
    </font>
    <font>
      <b/>
      <sz val="12"/>
      <color indexed="16"/>
      <name val="Arial"/>
      <family val="2"/>
    </font>
    <font>
      <u/>
      <sz val="12"/>
      <color rgb="FFFFFF00"/>
      <name val="Arial"/>
      <family val="2"/>
    </font>
    <font>
      <sz val="14"/>
      <name val="Arial Black"/>
      <family val="2"/>
    </font>
    <font>
      <b/>
      <sz val="10"/>
      <color rgb="FFFFFF00"/>
      <name val="Arial"/>
      <family val="2"/>
    </font>
    <font>
      <b/>
      <sz val="10.5"/>
      <name val="Arial Narrow"/>
      <family val="2"/>
    </font>
    <font>
      <b/>
      <strike/>
      <sz val="10"/>
      <name val="Arial"/>
      <family val="2"/>
    </font>
    <font>
      <strike/>
      <sz val="10"/>
      <name val="Arial"/>
      <family val="2"/>
    </font>
    <font>
      <b/>
      <strike/>
      <sz val="8"/>
      <color theme="0" tint="-0.34998626667073579"/>
      <name val="Arial Narrow"/>
      <family val="2"/>
    </font>
    <font>
      <sz val="10"/>
      <color rgb="FF0070C0"/>
      <name val="Arial"/>
      <family val="2"/>
    </font>
    <font>
      <sz val="8.5"/>
      <name val="Arial"/>
      <family val="2"/>
    </font>
    <font>
      <sz val="8.5"/>
      <color rgb="FF0070C0"/>
      <name val="Arial"/>
      <family val="2"/>
    </font>
    <font>
      <b/>
      <sz val="8.5"/>
      <name val="Arial"/>
      <family val="2"/>
    </font>
    <font>
      <b/>
      <i/>
      <sz val="10.5"/>
      <color rgb="FFDA0000"/>
      <name val="Arial"/>
      <family val="2"/>
    </font>
    <font>
      <b/>
      <i/>
      <u/>
      <sz val="10.5"/>
      <color rgb="FFDA0000"/>
      <name val="Arial"/>
      <family val="2"/>
    </font>
    <font>
      <b/>
      <sz val="10"/>
      <color rgb="FFDA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9.5"/>
      <color rgb="FFFF0000"/>
      <name val="Arial Narrow"/>
      <family val="2"/>
    </font>
    <font>
      <b/>
      <sz val="8"/>
      <color indexed="16"/>
      <name val="Arial"/>
      <family val="2"/>
    </font>
    <font>
      <b/>
      <sz val="10"/>
      <color rgb="FFC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3"/>
        <bgColor indexed="55"/>
      </patternFill>
    </fill>
    <fill>
      <patternFill patternType="solid">
        <fgColor indexed="16"/>
        <bgColor indexed="37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52"/>
        <bgColor indexed="5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31"/>
      </patternFill>
    </fill>
    <fill>
      <patternFill patternType="solid">
        <fgColor theme="0" tint="-0.249977111117893"/>
        <bgColor indexed="37"/>
      </patternFill>
    </fill>
    <fill>
      <patternFill patternType="solid">
        <fgColor theme="0" tint="-0.34998626667073579"/>
        <bgColor indexed="37"/>
      </patternFill>
    </fill>
    <fill>
      <patternFill patternType="solid">
        <fgColor theme="0" tint="-0.499984740745262"/>
        <bgColor indexed="37"/>
      </patternFill>
    </fill>
    <fill>
      <patternFill patternType="solid">
        <fgColor theme="0" tint="-0.499984740745262"/>
        <bgColor indexed="31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0" tint="-0.249977111117893"/>
        <bgColor indexed="55"/>
      </patternFill>
    </fill>
    <fill>
      <patternFill patternType="solid">
        <fgColor theme="5" tint="0.79998168889431442"/>
        <bgColor indexed="31"/>
      </patternFill>
    </fill>
  </fills>
  <borders count="91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4" fillId="0" borderId="0" applyNumberFormat="0" applyFill="0" applyBorder="0" applyAlignment="0" applyProtection="0"/>
    <xf numFmtId="0" fontId="1" fillId="0" borderId="1" applyNumberFormat="0" applyFill="0" applyAlignment="0" applyProtection="0"/>
  </cellStyleXfs>
  <cellXfs count="610">
    <xf numFmtId="0" fontId="0" fillId="0" borderId="0" xfId="0"/>
    <xf numFmtId="0" fontId="0" fillId="0" borderId="0" xfId="0" applyBorder="1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0" xfId="0" applyFill="1" applyBorder="1" applyProtection="1">
      <protection hidden="1"/>
    </xf>
    <xf numFmtId="0" fontId="0" fillId="0" borderId="0" xfId="0" applyFont="1" applyBorder="1" applyProtection="1">
      <protection hidden="1"/>
    </xf>
    <xf numFmtId="0" fontId="0" fillId="0" borderId="0" xfId="0" applyFont="1" applyBorder="1" applyAlignment="1" applyProtection="1">
      <alignment horizontal="center"/>
      <protection hidden="1"/>
    </xf>
    <xf numFmtId="0" fontId="0" fillId="2" borderId="0" xfId="0" applyFill="1" applyBorder="1" applyProtection="1">
      <protection hidden="1"/>
    </xf>
    <xf numFmtId="0" fontId="0" fillId="2" borderId="0" xfId="0" applyFill="1" applyBorder="1" applyAlignment="1" applyProtection="1">
      <alignment horizontal="center"/>
      <protection hidden="1"/>
    </xf>
    <xf numFmtId="0" fontId="0" fillId="3" borderId="0" xfId="0" applyFill="1" applyBorder="1" applyProtection="1">
      <protection hidden="1"/>
    </xf>
    <xf numFmtId="0" fontId="0" fillId="3" borderId="0" xfId="0" applyFill="1" applyBorder="1" applyAlignment="1" applyProtection="1">
      <alignment horizontal="left"/>
      <protection hidden="1"/>
    </xf>
    <xf numFmtId="14" fontId="0" fillId="0" borderId="0" xfId="0" applyNumberFormat="1" applyFont="1" applyBorder="1" applyAlignment="1" applyProtection="1">
      <alignment horizontal="center"/>
      <protection hidden="1"/>
    </xf>
    <xf numFmtId="14" fontId="0" fillId="0" borderId="0" xfId="0" applyNumberFormat="1" applyFont="1" applyBorder="1" applyProtection="1">
      <protection hidden="1"/>
    </xf>
    <xf numFmtId="0" fontId="5" fillId="2" borderId="0" xfId="0" applyFont="1" applyFill="1" applyBorder="1" applyAlignment="1" applyProtection="1">
      <alignment horizontal="left"/>
      <protection hidden="1"/>
    </xf>
    <xf numFmtId="0" fontId="6" fillId="4" borderId="2" xfId="0" applyFont="1" applyFill="1" applyBorder="1" applyProtection="1">
      <protection hidden="1"/>
    </xf>
    <xf numFmtId="0" fontId="5" fillId="0" borderId="0" xfId="0" applyFont="1" applyBorder="1" applyAlignment="1" applyProtection="1">
      <alignment horizontal="center"/>
      <protection hidden="1"/>
    </xf>
    <xf numFmtId="0" fontId="5" fillId="2" borderId="3" xfId="0" applyFont="1" applyFill="1" applyBorder="1" applyProtection="1">
      <protection hidden="1"/>
    </xf>
    <xf numFmtId="0" fontId="0" fillId="5" borderId="4" xfId="0" applyFill="1" applyBorder="1" applyAlignment="1" applyProtection="1">
      <alignment horizontal="center"/>
      <protection locked="0"/>
    </xf>
    <xf numFmtId="2" fontId="0" fillId="2" borderId="5" xfId="0" applyNumberFormat="1" applyFont="1" applyFill="1" applyBorder="1" applyAlignment="1" applyProtection="1">
      <alignment horizontal="center"/>
      <protection hidden="1"/>
    </xf>
    <xf numFmtId="0" fontId="5" fillId="2" borderId="6" xfId="0" applyFont="1" applyFill="1" applyBorder="1" applyProtection="1">
      <protection hidden="1"/>
    </xf>
    <xf numFmtId="2" fontId="0" fillId="2" borderId="7" xfId="0" applyNumberFormat="1" applyFont="1" applyFill="1" applyBorder="1" applyAlignment="1" applyProtection="1">
      <alignment horizontal="center"/>
      <protection hidden="1"/>
    </xf>
    <xf numFmtId="0" fontId="0" fillId="5" borderId="0" xfId="0" applyFill="1" applyBorder="1" applyAlignment="1" applyProtection="1">
      <alignment horizontal="center"/>
      <protection locked="0"/>
    </xf>
    <xf numFmtId="2" fontId="8" fillId="2" borderId="7" xfId="0" applyNumberFormat="1" applyFont="1" applyFill="1" applyBorder="1" applyAlignment="1" applyProtection="1">
      <alignment horizontal="center"/>
      <protection hidden="1"/>
    </xf>
    <xf numFmtId="0" fontId="0" fillId="2" borderId="6" xfId="0" applyFont="1" applyFill="1" applyBorder="1" applyProtection="1">
      <protection hidden="1"/>
    </xf>
    <xf numFmtId="0" fontId="7" fillId="2" borderId="0" xfId="0" applyFont="1" applyFill="1" applyBorder="1" applyAlignment="1" applyProtection="1">
      <protection hidden="1"/>
    </xf>
    <xf numFmtId="0" fontId="0" fillId="2" borderId="6" xfId="0" applyFont="1" applyFill="1" applyBorder="1" applyAlignment="1" applyProtection="1">
      <alignment horizontal="left"/>
      <protection hidden="1"/>
    </xf>
    <xf numFmtId="2" fontId="0" fillId="2" borderId="7" xfId="0" applyNumberFormat="1" applyFill="1" applyBorder="1" applyAlignment="1" applyProtection="1">
      <alignment horizontal="center"/>
      <protection hidden="1"/>
    </xf>
    <xf numFmtId="0" fontId="0" fillId="2" borderId="6" xfId="0" applyFont="1" applyFill="1" applyBorder="1" applyAlignment="1" applyProtection="1">
      <alignment horizontal="left" wrapText="1"/>
      <protection hidden="1"/>
    </xf>
    <xf numFmtId="0" fontId="0" fillId="5" borderId="0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hidden="1"/>
    </xf>
    <xf numFmtId="0" fontId="5" fillId="2" borderId="6" xfId="0" applyFont="1" applyFill="1" applyBorder="1" applyAlignment="1" applyProtection="1">
      <alignment horizontal="right"/>
      <protection hidden="1"/>
    </xf>
    <xf numFmtId="0" fontId="5" fillId="2" borderId="6" xfId="0" applyFont="1" applyFill="1" applyBorder="1" applyAlignment="1" applyProtection="1">
      <alignment horizontal="left"/>
      <protection hidden="1"/>
    </xf>
    <xf numFmtId="0" fontId="0" fillId="2" borderId="0" xfId="0" applyFill="1" applyBorder="1" applyAlignment="1" applyProtection="1">
      <alignment horizontal="center" vertical="center"/>
      <protection hidden="1"/>
    </xf>
    <xf numFmtId="2" fontId="0" fillId="0" borderId="0" xfId="0" applyNumberFormat="1" applyFont="1" applyBorder="1" applyAlignment="1" applyProtection="1">
      <alignment horizontal="center"/>
      <protection hidden="1"/>
    </xf>
    <xf numFmtId="0" fontId="0" fillId="2" borderId="6" xfId="0" applyFont="1" applyFill="1" applyBorder="1" applyAlignment="1" applyProtection="1">
      <alignment wrapText="1"/>
      <protection hidden="1"/>
    </xf>
    <xf numFmtId="0" fontId="5" fillId="2" borderId="6" xfId="0" applyFont="1" applyFill="1" applyBorder="1" applyAlignment="1" applyProtection="1">
      <alignment wrapText="1"/>
      <protection hidden="1"/>
    </xf>
    <xf numFmtId="2" fontId="0" fillId="2" borderId="0" xfId="0" applyNumberFormat="1" applyFill="1" applyBorder="1" applyAlignment="1" applyProtection="1">
      <alignment horizontal="center" vertical="center"/>
      <protection hidden="1"/>
    </xf>
    <xf numFmtId="0" fontId="5" fillId="2" borderId="8" xfId="0" applyFont="1" applyFill="1" applyBorder="1" applyAlignment="1" applyProtection="1">
      <alignment horizontal="right" wrapText="1"/>
      <protection hidden="1"/>
    </xf>
    <xf numFmtId="2" fontId="0" fillId="2" borderId="9" xfId="0" applyNumberFormat="1" applyFill="1" applyBorder="1" applyAlignment="1" applyProtection="1">
      <alignment horizontal="center" vertical="center"/>
      <protection hidden="1"/>
    </xf>
    <xf numFmtId="2" fontId="0" fillId="2" borderId="10" xfId="0" applyNumberFormat="1" applyFill="1" applyBorder="1" applyAlignment="1" applyProtection="1">
      <alignment horizontal="center" vertical="center"/>
      <protection hidden="1"/>
    </xf>
    <xf numFmtId="0" fontId="9" fillId="2" borderId="0" xfId="0" applyFont="1" applyFill="1" applyBorder="1" applyAlignment="1" applyProtection="1">
      <alignment wrapText="1"/>
      <protection hidden="1"/>
    </xf>
    <xf numFmtId="0" fontId="6" fillId="4" borderId="2" xfId="0" applyFont="1" applyFill="1" applyBorder="1" applyAlignment="1" applyProtection="1">
      <alignment wrapText="1"/>
      <protection hidden="1"/>
    </xf>
    <xf numFmtId="0" fontId="5" fillId="2" borderId="11" xfId="0" applyFont="1" applyFill="1" applyBorder="1" applyAlignment="1" applyProtection="1">
      <alignment wrapText="1"/>
      <protection hidden="1"/>
    </xf>
    <xf numFmtId="0" fontId="0" fillId="5" borderId="12" xfId="0" applyFon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hidden="1"/>
    </xf>
    <xf numFmtId="2" fontId="0" fillId="2" borderId="0" xfId="0" applyNumberFormat="1" applyFill="1" applyBorder="1" applyAlignment="1" applyProtection="1">
      <alignment horizontal="center"/>
      <protection hidden="1"/>
    </xf>
    <xf numFmtId="0" fontId="5" fillId="2" borderId="3" xfId="0" applyFont="1" applyFill="1" applyBorder="1" applyAlignment="1" applyProtection="1">
      <alignment vertical="center" wrapText="1"/>
      <protection hidden="1"/>
    </xf>
    <xf numFmtId="0" fontId="0" fillId="5" borderId="4" xfId="0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hidden="1"/>
    </xf>
    <xf numFmtId="0" fontId="5" fillId="6" borderId="8" xfId="0" applyFont="1" applyFill="1" applyBorder="1" applyProtection="1">
      <protection hidden="1"/>
    </xf>
    <xf numFmtId="0" fontId="0" fillId="5" borderId="9" xfId="0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Protection="1">
      <protection hidden="1"/>
    </xf>
    <xf numFmtId="0" fontId="5" fillId="2" borderId="3" xfId="0" applyFont="1" applyFill="1" applyBorder="1" applyAlignment="1" applyProtection="1">
      <alignment horizontal="left" vertical="center" wrapText="1"/>
      <protection hidden="1"/>
    </xf>
    <xf numFmtId="2" fontId="0" fillId="2" borderId="5" xfId="0" applyNumberFormat="1" applyFill="1" applyBorder="1" applyAlignment="1" applyProtection="1">
      <alignment horizontal="center"/>
      <protection hidden="1"/>
    </xf>
    <xf numFmtId="0" fontId="5" fillId="0" borderId="0" xfId="0" applyFont="1" applyFill="1" applyBorder="1" applyAlignment="1" applyProtection="1">
      <alignment horizontal="right"/>
      <protection hidden="1"/>
    </xf>
    <xf numFmtId="2" fontId="5" fillId="0" borderId="0" xfId="0" applyNumberFormat="1" applyFont="1" applyBorder="1" applyProtection="1">
      <protection hidden="1"/>
    </xf>
    <xf numFmtId="0" fontId="5" fillId="0" borderId="0" xfId="0" applyFont="1" applyBorder="1" applyProtection="1">
      <protection hidden="1"/>
    </xf>
    <xf numFmtId="0" fontId="0" fillId="2" borderId="7" xfId="0" applyFill="1" applyBorder="1" applyAlignment="1" applyProtection="1">
      <alignment horizontal="center"/>
      <protection hidden="1"/>
    </xf>
    <xf numFmtId="0" fontId="5" fillId="2" borderId="6" xfId="0" applyFont="1" applyFill="1" applyBorder="1" applyAlignment="1" applyProtection="1">
      <alignment horizontal="right" vertical="center" wrapText="1"/>
      <protection hidden="1"/>
    </xf>
    <xf numFmtId="0" fontId="5" fillId="2" borderId="8" xfId="0" applyFont="1" applyFill="1" applyBorder="1" applyAlignment="1" applyProtection="1">
      <alignment horizontal="right" vertical="center" wrapText="1"/>
      <protection hidden="1"/>
    </xf>
    <xf numFmtId="0" fontId="10" fillId="2" borderId="9" xfId="0" applyFont="1" applyFill="1" applyBorder="1" applyAlignment="1" applyProtection="1">
      <alignment horizontal="center"/>
      <protection hidden="1"/>
    </xf>
    <xf numFmtId="2" fontId="0" fillId="2" borderId="10" xfId="0" applyNumberFormat="1" applyFill="1" applyBorder="1" applyAlignment="1" applyProtection="1">
      <alignment horizontal="center"/>
      <protection hidden="1"/>
    </xf>
    <xf numFmtId="0" fontId="6" fillId="4" borderId="2" xfId="0" applyFont="1" applyFill="1" applyBorder="1" applyAlignment="1" applyProtection="1">
      <protection hidden="1"/>
    </xf>
    <xf numFmtId="0" fontId="5" fillId="2" borderId="3" xfId="0" applyFont="1" applyFill="1" applyBorder="1" applyAlignment="1" applyProtection="1">
      <alignment wrapText="1"/>
      <protection hidden="1"/>
    </xf>
    <xf numFmtId="0" fontId="5" fillId="2" borderId="8" xfId="0" applyFont="1" applyFill="1" applyBorder="1" applyProtection="1">
      <protection hidden="1"/>
    </xf>
    <xf numFmtId="0" fontId="0" fillId="5" borderId="9" xfId="0" applyFill="1" applyBorder="1" applyAlignment="1" applyProtection="1">
      <alignment horizontal="center"/>
      <protection locked="0"/>
    </xf>
    <xf numFmtId="0" fontId="0" fillId="2" borderId="0" xfId="0" applyFont="1" applyFill="1" applyBorder="1" applyAlignment="1" applyProtection="1">
      <alignment horizontal="center"/>
      <protection hidden="1"/>
    </xf>
    <xf numFmtId="0" fontId="6" fillId="4" borderId="14" xfId="0" applyFont="1" applyFill="1" applyBorder="1" applyProtection="1">
      <protection hidden="1"/>
    </xf>
    <xf numFmtId="0" fontId="0" fillId="5" borderId="4" xfId="0" applyFont="1" applyFill="1" applyBorder="1" applyAlignment="1" applyProtection="1">
      <alignment horizontal="center"/>
      <protection locked="0"/>
    </xf>
    <xf numFmtId="0" fontId="0" fillId="5" borderId="0" xfId="0" applyFont="1" applyFill="1" applyBorder="1" applyAlignment="1" applyProtection="1">
      <alignment horizontal="center" vertical="center"/>
      <protection locked="0"/>
    </xf>
    <xf numFmtId="2" fontId="0" fillId="2" borderId="7" xfId="0" applyNumberFormat="1" applyFont="1" applyFill="1" applyBorder="1" applyAlignment="1" applyProtection="1">
      <alignment horizontal="center" vertical="center"/>
      <protection hidden="1"/>
    </xf>
    <xf numFmtId="0" fontId="0" fillId="2" borderId="0" xfId="0" applyFont="1" applyFill="1" applyBorder="1" applyAlignment="1" applyProtection="1">
      <alignment horizontal="center" vertical="center"/>
      <protection hidden="1"/>
    </xf>
    <xf numFmtId="0" fontId="0" fillId="5" borderId="0" xfId="0" applyFont="1" applyFill="1" applyBorder="1" applyAlignment="1" applyProtection="1">
      <alignment horizontal="center"/>
      <protection locked="0"/>
    </xf>
    <xf numFmtId="0" fontId="6" fillId="2" borderId="6" xfId="0" applyFont="1" applyFill="1" applyBorder="1" applyProtection="1">
      <protection hidden="1"/>
    </xf>
    <xf numFmtId="0" fontId="5" fillId="2" borderId="8" xfId="0" applyFont="1" applyFill="1" applyBorder="1" applyAlignment="1" applyProtection="1">
      <alignment horizontal="right"/>
      <protection hidden="1"/>
    </xf>
    <xf numFmtId="0" fontId="6" fillId="4" borderId="2" xfId="0" applyFont="1" applyFill="1" applyBorder="1" applyAlignment="1" applyProtection="1">
      <alignment horizontal="left"/>
      <protection hidden="1"/>
    </xf>
    <xf numFmtId="0" fontId="10" fillId="2" borderId="0" xfId="0" applyFont="1" applyFill="1" applyBorder="1" applyAlignment="1" applyProtection="1">
      <alignment horizontal="center"/>
      <protection hidden="1"/>
    </xf>
    <xf numFmtId="0" fontId="0" fillId="5" borderId="0" xfId="0" applyFont="1" applyFill="1" applyBorder="1" applyAlignment="1" applyProtection="1">
      <alignment horizontal="center"/>
      <protection hidden="1"/>
    </xf>
    <xf numFmtId="0" fontId="5" fillId="2" borderId="3" xfId="0" applyFont="1" applyFill="1" applyBorder="1" applyAlignment="1" applyProtection="1">
      <alignment horizontal="left"/>
      <protection hidden="1"/>
    </xf>
    <xf numFmtId="0" fontId="10" fillId="2" borderId="4" xfId="0" applyFont="1" applyFill="1" applyBorder="1" applyAlignment="1" applyProtection="1">
      <alignment horizontal="center"/>
      <protection hidden="1"/>
    </xf>
    <xf numFmtId="2" fontId="10" fillId="2" borderId="7" xfId="0" applyNumberFormat="1" applyFont="1" applyFill="1" applyBorder="1" applyAlignment="1" applyProtection="1">
      <alignment horizontal="center"/>
      <protection hidden="1"/>
    </xf>
    <xf numFmtId="0" fontId="10" fillId="2" borderId="0" xfId="0" applyFont="1" applyFill="1" applyBorder="1" applyAlignment="1" applyProtection="1">
      <alignment horizontal="left"/>
      <protection hidden="1"/>
    </xf>
    <xf numFmtId="2" fontId="11" fillId="2" borderId="9" xfId="0" applyNumberFormat="1" applyFont="1" applyFill="1" applyBorder="1" applyAlignment="1" applyProtection="1">
      <alignment horizontal="center"/>
      <protection hidden="1"/>
    </xf>
    <xf numFmtId="2" fontId="0" fillId="2" borderId="10" xfId="0" applyNumberFormat="1" applyFont="1" applyFill="1" applyBorder="1" applyAlignment="1" applyProtection="1">
      <alignment horizontal="center"/>
      <protection hidden="1"/>
    </xf>
    <xf numFmtId="0" fontId="0" fillId="2" borderId="4" xfId="0" applyFont="1" applyFill="1" applyBorder="1" applyAlignment="1" applyProtection="1">
      <alignment horizontal="center"/>
      <protection hidden="1"/>
    </xf>
    <xf numFmtId="0" fontId="0" fillId="2" borderId="9" xfId="0" applyFill="1" applyBorder="1" applyAlignment="1" applyProtection="1">
      <alignment horizontal="center"/>
      <protection hidden="1"/>
    </xf>
    <xf numFmtId="2" fontId="0" fillId="2" borderId="0" xfId="0" applyNumberFormat="1" applyFill="1" applyBorder="1" applyAlignment="1" applyProtection="1">
      <alignment horizontal="left"/>
      <protection hidden="1"/>
    </xf>
    <xf numFmtId="0" fontId="6" fillId="4" borderId="15" xfId="0" applyFont="1" applyFill="1" applyBorder="1" applyAlignment="1" applyProtection="1">
      <alignment horizontal="left"/>
      <protection hidden="1"/>
    </xf>
    <xf numFmtId="1" fontId="0" fillId="5" borderId="4" xfId="0" applyNumberFormat="1" applyFill="1" applyBorder="1" applyAlignment="1" applyProtection="1">
      <alignment horizontal="center"/>
      <protection locked="0"/>
    </xf>
    <xf numFmtId="0" fontId="6" fillId="3" borderId="2" xfId="0" applyFont="1" applyFill="1" applyBorder="1" applyProtection="1">
      <protection hidden="1"/>
    </xf>
    <xf numFmtId="0" fontId="5" fillId="2" borderId="8" xfId="0" applyFont="1" applyFill="1" applyBorder="1" applyAlignment="1" applyProtection="1">
      <alignment wrapText="1"/>
      <protection hidden="1"/>
    </xf>
    <xf numFmtId="0" fontId="6" fillId="3" borderId="15" xfId="0" applyFont="1" applyFill="1" applyBorder="1" applyAlignment="1" applyProtection="1">
      <alignment wrapText="1"/>
      <protection hidden="1"/>
    </xf>
    <xf numFmtId="2" fontId="10" fillId="2" borderId="5" xfId="0" applyNumberFormat="1" applyFont="1" applyFill="1" applyBorder="1" applyAlignment="1" applyProtection="1">
      <alignment horizontal="center"/>
      <protection hidden="1"/>
    </xf>
    <xf numFmtId="2" fontId="10" fillId="2" borderId="10" xfId="0" applyNumberFormat="1" applyFont="1" applyFill="1" applyBorder="1" applyAlignment="1" applyProtection="1">
      <alignment horizontal="center"/>
      <protection hidden="1"/>
    </xf>
    <xf numFmtId="0" fontId="0" fillId="2" borderId="4" xfId="0" applyFill="1" applyBorder="1" applyAlignment="1" applyProtection="1">
      <alignment horizontal="center"/>
      <protection hidden="1"/>
    </xf>
    <xf numFmtId="2" fontId="10" fillId="2" borderId="9" xfId="0" applyNumberFormat="1" applyFont="1" applyFill="1" applyBorder="1" applyAlignment="1" applyProtection="1">
      <alignment horizontal="left"/>
      <protection hidden="1"/>
    </xf>
    <xf numFmtId="0" fontId="0" fillId="2" borderId="0" xfId="0" applyFill="1" applyBorder="1" applyAlignment="1" applyProtection="1">
      <protection hidden="1"/>
    </xf>
    <xf numFmtId="0" fontId="12" fillId="4" borderId="2" xfId="0" applyFont="1" applyFill="1" applyBorder="1" applyProtection="1">
      <protection hidden="1"/>
    </xf>
    <xf numFmtId="0" fontId="6" fillId="3" borderId="2" xfId="0" applyFont="1" applyFill="1" applyBorder="1" applyAlignment="1" applyProtection="1">
      <alignment horizontal="center"/>
      <protection hidden="1"/>
    </xf>
    <xf numFmtId="2" fontId="0" fillId="0" borderId="0" xfId="0" applyNumberForma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left"/>
      <protection hidden="1"/>
    </xf>
    <xf numFmtId="2" fontId="0" fillId="5" borderId="0" xfId="0" applyNumberFormat="1" applyFill="1" applyBorder="1" applyAlignment="1" applyProtection="1">
      <alignment horizontal="center"/>
      <protection locked="0"/>
    </xf>
    <xf numFmtId="0" fontId="0" fillId="0" borderId="16" xfId="0" applyFont="1" applyBorder="1" applyAlignment="1" applyProtection="1">
      <alignment horizontal="left"/>
      <protection hidden="1"/>
    </xf>
    <xf numFmtId="0" fontId="0" fillId="0" borderId="17" xfId="0" applyFont="1" applyBorder="1" applyProtection="1">
      <protection hidden="1"/>
    </xf>
    <xf numFmtId="0" fontId="0" fillId="0" borderId="18" xfId="0" applyFont="1" applyBorder="1" applyProtection="1">
      <protection hidden="1"/>
    </xf>
    <xf numFmtId="0" fontId="0" fillId="0" borderId="0" xfId="0" applyBorder="1" applyAlignment="1" applyProtection="1">
      <alignment horizontal="left"/>
      <protection hidden="1"/>
    </xf>
    <xf numFmtId="4" fontId="10" fillId="2" borderId="0" xfId="0" applyNumberFormat="1" applyFont="1" applyFill="1" applyBorder="1" applyAlignment="1" applyProtection="1">
      <alignment horizontal="center"/>
      <protection hidden="1"/>
    </xf>
    <xf numFmtId="2" fontId="0" fillId="2" borderId="0" xfId="0" applyNumberFormat="1" applyFont="1" applyFill="1" applyBorder="1" applyAlignment="1" applyProtection="1">
      <alignment horizontal="center"/>
      <protection hidden="1"/>
    </xf>
    <xf numFmtId="0" fontId="6" fillId="3" borderId="15" xfId="0" applyFont="1" applyFill="1" applyBorder="1" applyProtection="1">
      <protection hidden="1"/>
    </xf>
    <xf numFmtId="0" fontId="0" fillId="2" borderId="3" xfId="0" applyFont="1" applyFill="1" applyBorder="1" applyProtection="1">
      <protection hidden="1"/>
    </xf>
    <xf numFmtId="2" fontId="0" fillId="5" borderId="4" xfId="0" applyNumberFormat="1" applyFill="1" applyBorder="1" applyAlignment="1" applyProtection="1">
      <alignment horizontal="center"/>
      <protection locked="0"/>
    </xf>
    <xf numFmtId="1" fontId="0" fillId="5" borderId="0" xfId="0" applyNumberFormat="1" applyFill="1" applyBorder="1" applyAlignment="1" applyProtection="1">
      <alignment horizontal="center"/>
      <protection locked="0"/>
    </xf>
    <xf numFmtId="0" fontId="16" fillId="2" borderId="8" xfId="0" applyFont="1" applyFill="1" applyBorder="1" applyAlignment="1" applyProtection="1">
      <alignment horizontal="right"/>
      <protection hidden="1"/>
    </xf>
    <xf numFmtId="0" fontId="0" fillId="2" borderId="9" xfId="0" applyFill="1" applyBorder="1" applyProtection="1">
      <protection hidden="1"/>
    </xf>
    <xf numFmtId="0" fontId="0" fillId="7" borderId="3" xfId="0" applyFont="1" applyFill="1" applyBorder="1" applyProtection="1">
      <protection hidden="1"/>
    </xf>
    <xf numFmtId="0" fontId="0" fillId="7" borderId="6" xfId="0" applyFont="1" applyFill="1" applyBorder="1" applyProtection="1">
      <protection hidden="1"/>
    </xf>
    <xf numFmtId="2" fontId="0" fillId="5" borderId="0" xfId="0" applyNumberFormat="1" applyFill="1" applyBorder="1" applyAlignment="1" applyProtection="1">
      <alignment horizontal="center" vertical="center"/>
      <protection locked="0"/>
    </xf>
    <xf numFmtId="1" fontId="0" fillId="5" borderId="0" xfId="0" applyNumberFormat="1" applyFill="1" applyBorder="1" applyAlignment="1" applyProtection="1">
      <alignment horizontal="center" vertical="center"/>
      <protection locked="0"/>
    </xf>
    <xf numFmtId="0" fontId="16" fillId="7" borderId="8" xfId="0" applyFont="1" applyFill="1" applyBorder="1" applyAlignment="1" applyProtection="1">
      <alignment horizontal="right"/>
      <protection hidden="1"/>
    </xf>
    <xf numFmtId="2" fontId="0" fillId="2" borderId="5" xfId="0" applyNumberFormat="1" applyFont="1" applyFill="1" applyBorder="1" applyAlignment="1" applyProtection="1">
      <alignment horizontal="center" vertical="center"/>
      <protection hidden="1"/>
    </xf>
    <xf numFmtId="0" fontId="0" fillId="7" borderId="6" xfId="0" applyFont="1" applyFill="1" applyBorder="1" applyAlignment="1" applyProtection="1">
      <alignment horizontal="right"/>
      <protection hidden="1"/>
    </xf>
    <xf numFmtId="0" fontId="0" fillId="7" borderId="6" xfId="0" applyFont="1" applyFill="1" applyBorder="1" applyAlignment="1" applyProtection="1">
      <alignment horizontal="left"/>
      <protection hidden="1"/>
    </xf>
    <xf numFmtId="0" fontId="0" fillId="2" borderId="9" xfId="0" applyFill="1" applyBorder="1" applyAlignment="1" applyProtection="1">
      <alignment horizontal="center" vertical="center"/>
      <protection hidden="1"/>
    </xf>
    <xf numFmtId="0" fontId="6" fillId="3" borderId="15" xfId="0" applyFont="1" applyFill="1" applyBorder="1" applyAlignment="1" applyProtection="1">
      <alignment horizontal="left"/>
      <protection hidden="1"/>
    </xf>
    <xf numFmtId="4" fontId="0" fillId="2" borderId="0" xfId="0" applyNumberFormat="1" applyFill="1" applyBorder="1" applyAlignment="1" applyProtection="1">
      <alignment horizontal="center"/>
      <protection hidden="1"/>
    </xf>
    <xf numFmtId="3" fontId="0" fillId="5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hidden="1"/>
    </xf>
    <xf numFmtId="0" fontId="0" fillId="5" borderId="0" xfId="0" applyFont="1" applyFill="1" applyBorder="1" applyProtection="1">
      <protection hidden="1"/>
    </xf>
    <xf numFmtId="0" fontId="0" fillId="5" borderId="0" xfId="0" applyFill="1" applyBorder="1" applyProtection="1">
      <protection hidden="1"/>
    </xf>
    <xf numFmtId="0" fontId="6" fillId="3" borderId="2" xfId="0" applyFont="1" applyFill="1" applyBorder="1" applyAlignment="1" applyProtection="1">
      <alignment horizontal="left"/>
      <protection hidden="1"/>
    </xf>
    <xf numFmtId="0" fontId="5" fillId="2" borderId="11" xfId="0" applyFont="1" applyFill="1" applyBorder="1" applyAlignment="1" applyProtection="1">
      <alignment horizontal="right"/>
      <protection hidden="1"/>
    </xf>
    <xf numFmtId="0" fontId="0" fillId="2" borderId="12" xfId="0" applyFill="1" applyBorder="1" applyAlignment="1" applyProtection="1">
      <alignment horizontal="center"/>
      <protection hidden="1"/>
    </xf>
    <xf numFmtId="0" fontId="0" fillId="2" borderId="0" xfId="0" applyFont="1" applyFill="1" applyBorder="1" applyProtection="1">
      <protection hidden="1"/>
    </xf>
    <xf numFmtId="0" fontId="0" fillId="2" borderId="0" xfId="0" applyFill="1" applyProtection="1">
      <protection hidden="1"/>
    </xf>
    <xf numFmtId="0" fontId="5" fillId="2" borderId="0" xfId="0" applyFont="1" applyFill="1" applyBorder="1" applyAlignment="1" applyProtection="1">
      <alignment horizontal="center"/>
      <protection locked="0"/>
    </xf>
    <xf numFmtId="2" fontId="5" fillId="2" borderId="0" xfId="0" applyNumberFormat="1" applyFont="1" applyFill="1" applyBorder="1" applyAlignment="1" applyProtection="1">
      <alignment horizontal="center"/>
      <protection hidden="1"/>
    </xf>
    <xf numFmtId="0" fontId="7" fillId="5" borderId="0" xfId="0" applyFont="1" applyFill="1" applyBorder="1" applyAlignment="1" applyProtection="1">
      <alignment horizontal="left"/>
      <protection hidden="1"/>
    </xf>
    <xf numFmtId="0" fontId="0" fillId="5" borderId="0" xfId="0" applyFill="1" applyProtection="1">
      <protection hidden="1"/>
    </xf>
    <xf numFmtId="0" fontId="0" fillId="5" borderId="0" xfId="0" applyFont="1" applyFill="1" applyProtection="1">
      <protection hidden="1"/>
    </xf>
    <xf numFmtId="0" fontId="0" fillId="0" borderId="0" xfId="0" applyFont="1" applyFill="1" applyProtection="1">
      <protection hidden="1"/>
    </xf>
    <xf numFmtId="0" fontId="0" fillId="0" borderId="0" xfId="0" applyProtection="1">
      <protection hidden="1"/>
    </xf>
    <xf numFmtId="0" fontId="5" fillId="2" borderId="11" xfId="0" applyFont="1" applyFill="1" applyBorder="1" applyProtection="1">
      <protection hidden="1"/>
    </xf>
    <xf numFmtId="2" fontId="0" fillId="5" borderId="12" xfId="0" applyNumberFormat="1" applyFont="1" applyFill="1" applyBorder="1" applyAlignment="1" applyProtection="1">
      <alignment horizontal="center"/>
      <protection locked="0"/>
    </xf>
    <xf numFmtId="2" fontId="0" fillId="2" borderId="13" xfId="0" applyNumberFormat="1" applyFont="1" applyFill="1" applyBorder="1" applyAlignment="1" applyProtection="1">
      <alignment horizontal="center"/>
      <protection hidden="1"/>
    </xf>
    <xf numFmtId="0" fontId="0" fillId="2" borderId="4" xfId="0" applyFill="1" applyBorder="1" applyProtection="1">
      <protection hidden="1"/>
    </xf>
    <xf numFmtId="0" fontId="0" fillId="2" borderId="5" xfId="0" applyFill="1" applyBorder="1" applyProtection="1">
      <protection hidden="1"/>
    </xf>
    <xf numFmtId="0" fontId="6" fillId="4" borderId="14" xfId="0" applyFont="1" applyFill="1" applyBorder="1" applyAlignment="1" applyProtection="1">
      <alignment horizontal="left"/>
      <protection hidden="1"/>
    </xf>
    <xf numFmtId="0" fontId="5" fillId="2" borderId="3" xfId="0" applyFont="1" applyFill="1" applyBorder="1" applyAlignment="1" applyProtection="1">
      <alignment horizontal="right"/>
      <protection hidden="1"/>
    </xf>
    <xf numFmtId="0" fontId="0" fillId="5" borderId="4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hidden="1"/>
    </xf>
    <xf numFmtId="0" fontId="0" fillId="5" borderId="9" xfId="0" applyFon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hidden="1"/>
    </xf>
    <xf numFmtId="0" fontId="0" fillId="2" borderId="0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horizontal="right"/>
      <protection hidden="1"/>
    </xf>
    <xf numFmtId="0" fontId="0" fillId="0" borderId="0" xfId="0" applyFill="1" applyProtection="1">
      <protection hidden="1"/>
    </xf>
    <xf numFmtId="0" fontId="0" fillId="3" borderId="0" xfId="0" applyFill="1" applyProtection="1">
      <protection hidden="1"/>
    </xf>
    <xf numFmtId="0" fontId="2" fillId="0" borderId="0" xfId="0" applyFont="1" applyFill="1" applyBorder="1" applyAlignment="1" applyProtection="1">
      <protection hidden="1"/>
    </xf>
    <xf numFmtId="0" fontId="3" fillId="0" borderId="0" xfId="0" applyFont="1" applyFill="1" applyBorder="1" applyAlignment="1" applyProtection="1">
      <protection hidden="1"/>
    </xf>
    <xf numFmtId="0" fontId="0" fillId="2" borderId="0" xfId="0" applyFill="1" applyAlignment="1" applyProtection="1">
      <alignment horizontal="left"/>
      <protection hidden="1"/>
    </xf>
    <xf numFmtId="0" fontId="5" fillId="2" borderId="0" xfId="0" applyFont="1" applyFill="1" applyAlignment="1" applyProtection="1">
      <alignment horizontal="left"/>
      <protection hidden="1"/>
    </xf>
    <xf numFmtId="0" fontId="0" fillId="2" borderId="0" xfId="0" applyFill="1" applyAlignment="1" applyProtection="1">
      <protection hidden="1"/>
    </xf>
    <xf numFmtId="0" fontId="0" fillId="0" borderId="0" xfId="0" applyFont="1" applyFill="1" applyAlignment="1" applyProtection="1">
      <protection hidden="1"/>
    </xf>
    <xf numFmtId="0" fontId="5" fillId="2" borderId="6" xfId="0" applyFont="1" applyFill="1" applyBorder="1" applyAlignment="1" applyProtection="1">
      <alignment vertical="center" wrapText="1"/>
      <protection hidden="1"/>
    </xf>
    <xf numFmtId="0" fontId="7" fillId="2" borderId="6" xfId="0" applyFont="1" applyFill="1" applyBorder="1" applyProtection="1">
      <protection hidden="1"/>
    </xf>
    <xf numFmtId="0" fontId="0" fillId="2" borderId="9" xfId="0" applyFont="1" applyFill="1" applyBorder="1" applyAlignment="1" applyProtection="1">
      <alignment horizontal="center"/>
      <protection hidden="1"/>
    </xf>
    <xf numFmtId="0" fontId="2" fillId="2" borderId="0" xfId="0" applyFont="1" applyFill="1" applyAlignment="1" applyProtection="1">
      <alignment horizontal="center"/>
      <protection hidden="1"/>
    </xf>
    <xf numFmtId="0" fontId="7" fillId="2" borderId="0" xfId="0" applyFont="1" applyFill="1" applyProtection="1">
      <protection hidden="1"/>
    </xf>
    <xf numFmtId="0" fontId="5" fillId="2" borderId="0" xfId="0" applyFont="1" applyFill="1" applyProtection="1">
      <protection hidden="1"/>
    </xf>
    <xf numFmtId="0" fontId="0" fillId="5" borderId="0" xfId="0" applyFill="1" applyAlignment="1" applyProtection="1">
      <alignment horizontal="center"/>
      <protection locked="0"/>
    </xf>
    <xf numFmtId="2" fontId="0" fillId="2" borderId="0" xfId="0" applyNumberFormat="1" applyFill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2" borderId="0" xfId="0" applyFill="1" applyAlignment="1" applyProtection="1">
      <alignment horizontal="center"/>
      <protection hidden="1"/>
    </xf>
    <xf numFmtId="0" fontId="5" fillId="2" borderId="0" xfId="0" applyFont="1" applyFill="1" applyAlignment="1" applyProtection="1">
      <alignment horizontal="right"/>
      <protection hidden="1"/>
    </xf>
    <xf numFmtId="2" fontId="0" fillId="2" borderId="0" xfId="0" applyNumberFormat="1" applyFill="1" applyProtection="1">
      <protection hidden="1"/>
    </xf>
    <xf numFmtId="0" fontId="0" fillId="0" borderId="0" xfId="0" applyFont="1" applyProtection="1">
      <protection hidden="1"/>
    </xf>
    <xf numFmtId="0" fontId="5" fillId="0" borderId="0" xfId="0" applyFont="1" applyAlignment="1" applyProtection="1">
      <alignment horizontal="right"/>
      <protection hidden="1"/>
    </xf>
    <xf numFmtId="0" fontId="0" fillId="0" borderId="0" xfId="0" applyFont="1" applyFill="1" applyAlignment="1" applyProtection="1">
      <alignment horizontal="center"/>
      <protection hidden="1"/>
    </xf>
    <xf numFmtId="0" fontId="0" fillId="2" borderId="0" xfId="0" applyFont="1" applyFill="1" applyAlignment="1" applyProtection="1">
      <protection hidden="1"/>
    </xf>
    <xf numFmtId="0" fontId="0" fillId="0" borderId="0" xfId="0" applyNumberFormat="1" applyFont="1" applyFill="1" applyAlignment="1" applyProtection="1">
      <alignment horizontal="center"/>
      <protection hidden="1"/>
    </xf>
    <xf numFmtId="164" fontId="5" fillId="0" borderId="0" xfId="0" applyNumberFormat="1" applyFont="1" applyFill="1" applyAlignment="1" applyProtection="1">
      <protection hidden="1"/>
    </xf>
    <xf numFmtId="0" fontId="0" fillId="2" borderId="0" xfId="0" applyFill="1" applyAlignment="1" applyProtection="1">
      <alignment horizontal="right"/>
      <protection hidden="1"/>
    </xf>
    <xf numFmtId="0" fontId="5" fillId="2" borderId="0" xfId="0" applyFont="1" applyFill="1" applyBorder="1" applyAlignment="1" applyProtection="1">
      <protection hidden="1"/>
    </xf>
    <xf numFmtId="49" fontId="0" fillId="2" borderId="0" xfId="0" applyNumberFormat="1" applyFont="1" applyFill="1" applyBorder="1" applyAlignment="1" applyProtection="1">
      <alignment horizontal="center"/>
      <protection hidden="1"/>
    </xf>
    <xf numFmtId="0" fontId="0" fillId="5" borderId="0" xfId="0" applyNumberFormat="1" applyFill="1" applyBorder="1" applyAlignment="1" applyProtection="1">
      <alignment horizontal="center"/>
      <protection locked="0"/>
    </xf>
    <xf numFmtId="0" fontId="0" fillId="2" borderId="0" xfId="0" applyNumberFormat="1" applyFill="1" applyBorder="1" applyAlignment="1" applyProtection="1">
      <alignment horizontal="center"/>
      <protection hidden="1"/>
    </xf>
    <xf numFmtId="0" fontId="0" fillId="5" borderId="0" xfId="0" applyFill="1" applyProtection="1">
      <protection locked="0"/>
    </xf>
    <xf numFmtId="1" fontId="0" fillId="2" borderId="0" xfId="0" applyNumberFormat="1" applyFill="1" applyAlignment="1" applyProtection="1">
      <alignment horizontal="left"/>
      <protection hidden="1"/>
    </xf>
    <xf numFmtId="1" fontId="0" fillId="2" borderId="0" xfId="0" applyNumberFormat="1" applyFill="1" applyBorder="1" applyAlignment="1" applyProtection="1">
      <alignment horizontal="center"/>
      <protection hidden="1"/>
    </xf>
    <xf numFmtId="0" fontId="5" fillId="2" borderId="0" xfId="0" applyFont="1" applyFill="1" applyAlignment="1" applyProtection="1">
      <alignment horizontal="center"/>
      <protection hidden="1"/>
    </xf>
    <xf numFmtId="0" fontId="5" fillId="2" borderId="0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Fill="1" applyAlignment="1" applyProtection="1">
      <alignment horizontal="center"/>
      <protection hidden="1"/>
    </xf>
    <xf numFmtId="0" fontId="5" fillId="5" borderId="0" xfId="0" applyFont="1" applyFill="1" applyBorder="1" applyAlignment="1" applyProtection="1">
      <alignment horizontal="center"/>
      <protection locked="0"/>
    </xf>
    <xf numFmtId="0" fontId="5" fillId="5" borderId="0" xfId="0" applyFont="1" applyFill="1" applyBorder="1" applyAlignment="1" applyProtection="1">
      <alignment horizontal="left"/>
      <protection locked="0"/>
    </xf>
    <xf numFmtId="0" fontId="5" fillId="5" borderId="0" xfId="0" applyFont="1" applyFill="1" applyBorder="1" applyProtection="1">
      <protection locked="0"/>
    </xf>
    <xf numFmtId="0" fontId="18" fillId="5" borderId="0" xfId="0" applyFont="1" applyFill="1" applyBorder="1" applyAlignment="1" applyProtection="1">
      <alignment horizontal="left"/>
      <protection locked="0"/>
    </xf>
    <xf numFmtId="0" fontId="18" fillId="2" borderId="0" xfId="0" applyFont="1" applyFill="1" applyBorder="1" applyAlignment="1" applyProtection="1">
      <alignment horizontal="left"/>
      <protection hidden="1"/>
    </xf>
    <xf numFmtId="0" fontId="18" fillId="2" borderId="0" xfId="0" applyFont="1" applyFill="1" applyBorder="1" applyAlignment="1" applyProtection="1">
      <alignment horizontal="left"/>
      <protection locked="0"/>
    </xf>
    <xf numFmtId="0" fontId="5" fillId="5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0" fillId="2" borderId="0" xfId="0" applyFont="1" applyFill="1" applyProtection="1">
      <protection hidden="1"/>
    </xf>
    <xf numFmtId="0" fontId="0" fillId="2" borderId="0" xfId="0" applyFont="1" applyFill="1" applyAlignment="1" applyProtection="1">
      <alignment horizontal="left"/>
      <protection hidden="1"/>
    </xf>
    <xf numFmtId="0" fontId="5" fillId="2" borderId="0" xfId="0" applyFont="1" applyFill="1" applyAlignment="1" applyProtection="1">
      <protection hidden="1"/>
    </xf>
    <xf numFmtId="49" fontId="0" fillId="5" borderId="0" xfId="0" applyNumberFormat="1" applyFill="1" applyAlignme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2" borderId="0" xfId="0" applyFont="1" applyFill="1" applyBorder="1" applyAlignment="1" applyProtection="1">
      <protection hidden="1"/>
    </xf>
    <xf numFmtId="0" fontId="0" fillId="0" borderId="0" xfId="0" applyAlignment="1" applyProtection="1">
      <alignment horizontal="left"/>
      <protection locked="0"/>
    </xf>
    <xf numFmtId="49" fontId="0" fillId="2" borderId="0" xfId="0" applyNumberFormat="1" applyFont="1" applyFill="1" applyAlignment="1" applyProtection="1">
      <protection hidden="1"/>
    </xf>
    <xf numFmtId="49" fontId="5" fillId="2" borderId="0" xfId="0" applyNumberFormat="1" applyFont="1" applyFill="1" applyAlignment="1" applyProtection="1">
      <alignment horizontal="right"/>
      <protection hidden="1"/>
    </xf>
    <xf numFmtId="0" fontId="0" fillId="5" borderId="0" xfId="0" applyFont="1" applyFill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left"/>
      <protection hidden="1"/>
    </xf>
    <xf numFmtId="0" fontId="0" fillId="2" borderId="0" xfId="0" applyFill="1" applyAlignment="1" applyProtection="1">
      <alignment horizontal="center"/>
      <protection locked="0"/>
    </xf>
    <xf numFmtId="1" fontId="0" fillId="5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Protection="1">
      <protection hidden="1"/>
    </xf>
    <xf numFmtId="2" fontId="3" fillId="0" borderId="0" xfId="0" applyNumberFormat="1" applyFont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2" fontId="0" fillId="0" borderId="0" xfId="0" applyNumberFormat="1" applyFont="1" applyProtection="1">
      <protection hidden="1"/>
    </xf>
    <xf numFmtId="0" fontId="3" fillId="0" borderId="0" xfId="0" applyFont="1" applyAlignment="1" applyProtection="1">
      <alignment horizontal="right"/>
      <protection hidden="1"/>
    </xf>
    <xf numFmtId="2" fontId="3" fillId="0" borderId="0" xfId="0" applyNumberFormat="1" applyFont="1" applyAlignment="1" applyProtection="1">
      <alignment horizontal="left"/>
      <protection hidden="1"/>
    </xf>
    <xf numFmtId="49" fontId="3" fillId="0" borderId="0" xfId="0" applyNumberFormat="1" applyFont="1" applyAlignment="1" applyProtection="1">
      <protection hidden="1"/>
    </xf>
    <xf numFmtId="1" fontId="3" fillId="0" borderId="0" xfId="0" applyNumberFormat="1" applyFont="1" applyAlignment="1" applyProtection="1">
      <alignment horizontal="left"/>
      <protection hidden="1"/>
    </xf>
    <xf numFmtId="0" fontId="3" fillId="0" borderId="0" xfId="0" applyFont="1" applyFill="1" applyProtection="1">
      <protection hidden="1"/>
    </xf>
    <xf numFmtId="49" fontId="0" fillId="0" borderId="0" xfId="0" applyNumberFormat="1" applyFill="1" applyBorder="1" applyAlignment="1" applyProtection="1">
      <alignment horizontal="center"/>
      <protection hidden="1"/>
    </xf>
    <xf numFmtId="0" fontId="21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protection hidden="1"/>
    </xf>
    <xf numFmtId="0" fontId="3" fillId="0" borderId="0" xfId="0" applyNumberFormat="1" applyFont="1" applyAlignment="1" applyProtection="1">
      <protection hidden="1"/>
    </xf>
    <xf numFmtId="0" fontId="21" fillId="0" borderId="0" xfId="0" applyNumberFormat="1" applyFont="1" applyAlignment="1" applyProtection="1">
      <protection hidden="1"/>
    </xf>
    <xf numFmtId="2" fontId="3" fillId="0" borderId="0" xfId="0" applyNumberFormat="1" applyFont="1" applyAlignment="1" applyProtection="1">
      <alignment horizontal="center"/>
      <protection hidden="1"/>
    </xf>
    <xf numFmtId="0" fontId="22" fillId="0" borderId="2" xfId="0" applyFont="1" applyBorder="1" applyAlignment="1" applyProtection="1">
      <alignment horizontal="center" vertical="center" wrapText="1"/>
      <protection hidden="1"/>
    </xf>
    <xf numFmtId="0" fontId="22" fillId="0" borderId="19" xfId="0" applyFont="1" applyBorder="1" applyAlignment="1" applyProtection="1">
      <alignment horizontal="center" vertical="center" wrapText="1"/>
      <protection hidden="1"/>
    </xf>
    <xf numFmtId="0" fontId="22" fillId="0" borderId="0" xfId="0" applyFont="1" applyBorder="1" applyAlignment="1" applyProtection="1">
      <alignment horizontal="center" vertical="center" wrapText="1"/>
      <protection hidden="1"/>
    </xf>
    <xf numFmtId="2" fontId="3" fillId="0" borderId="0" xfId="0" applyNumberFormat="1" applyFont="1" applyBorder="1" applyAlignment="1" applyProtection="1">
      <alignment horizontal="center"/>
      <protection hidden="1"/>
    </xf>
    <xf numFmtId="2" fontId="3" fillId="0" borderId="0" xfId="0" applyNumberFormat="1" applyFont="1" applyFill="1" applyAlignment="1" applyProtection="1">
      <alignment horizontal="center"/>
      <protection hidden="1"/>
    </xf>
    <xf numFmtId="2" fontId="3" fillId="0" borderId="0" xfId="0" applyNumberFormat="1" applyFont="1" applyFill="1" applyProtection="1">
      <protection hidden="1"/>
    </xf>
    <xf numFmtId="0" fontId="3" fillId="0" borderId="0" xfId="0" applyFont="1" applyFill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2" fontId="3" fillId="0" borderId="0" xfId="0" applyNumberFormat="1" applyFont="1" applyBorder="1" applyAlignment="1" applyProtection="1">
      <alignment horizontal="center" vertical="center"/>
      <protection hidden="1"/>
    </xf>
    <xf numFmtId="0" fontId="0" fillId="0" borderId="14" xfId="0" applyFont="1" applyBorder="1" applyProtection="1">
      <protection hidden="1"/>
    </xf>
    <xf numFmtId="0" fontId="5" fillId="0" borderId="27" xfId="0" applyFont="1" applyBorder="1" applyAlignment="1" applyProtection="1">
      <alignment horizontal="right"/>
      <protection hidden="1"/>
    </xf>
    <xf numFmtId="2" fontId="3" fillId="0" borderId="0" xfId="0" applyNumberFormat="1" applyFont="1" applyBorder="1" applyAlignment="1" applyProtection="1">
      <protection hidden="1"/>
    </xf>
    <xf numFmtId="2" fontId="0" fillId="0" borderId="0" xfId="0" applyNumberFormat="1" applyFont="1" applyAlignment="1" applyProtection="1">
      <alignment horizontal="center"/>
      <protection hidden="1"/>
    </xf>
    <xf numFmtId="0" fontId="0" fillId="0" borderId="0" xfId="0" applyFont="1" applyFill="1" applyAlignment="1" applyProtection="1">
      <alignment horizontal="right"/>
      <protection hidden="1"/>
    </xf>
    <xf numFmtId="0" fontId="22" fillId="0" borderId="14" xfId="0" applyFont="1" applyBorder="1" applyAlignment="1" applyProtection="1">
      <alignment horizontal="center" vertical="center" wrapText="1"/>
      <protection hidden="1"/>
    </xf>
    <xf numFmtId="0" fontId="22" fillId="0" borderId="11" xfId="0" applyFont="1" applyBorder="1" applyAlignment="1" applyProtection="1">
      <alignment horizontal="center" vertical="center" wrapText="1"/>
      <protection hidden="1"/>
    </xf>
    <xf numFmtId="2" fontId="0" fillId="0" borderId="0" xfId="0" applyNumberFormat="1" applyFont="1" applyFill="1" applyAlignment="1" applyProtection="1">
      <alignment horizontal="right"/>
      <protection hidden="1"/>
    </xf>
    <xf numFmtId="0" fontId="5" fillId="0" borderId="11" xfId="0" applyFont="1" applyBorder="1" applyAlignment="1" applyProtection="1">
      <alignment horizontal="right"/>
      <protection hidden="1"/>
    </xf>
    <xf numFmtId="165" fontId="3" fillId="0" borderId="0" xfId="0" applyNumberFormat="1" applyFont="1" applyBorder="1" applyAlignment="1" applyProtection="1">
      <alignment horizontal="right"/>
      <protection hidden="1"/>
    </xf>
    <xf numFmtId="165" fontId="3" fillId="0" borderId="0" xfId="0" applyNumberFormat="1" applyFont="1" applyBorder="1" applyAlignment="1" applyProtection="1">
      <protection hidden="1"/>
    </xf>
    <xf numFmtId="49" fontId="21" fillId="0" borderId="0" xfId="0" applyNumberFormat="1" applyFont="1" applyAlignment="1" applyProtection="1">
      <protection hidden="1"/>
    </xf>
    <xf numFmtId="0" fontId="0" fillId="0" borderId="0" xfId="0" applyAlignment="1" applyProtection="1">
      <alignment wrapText="1"/>
      <protection hidden="1"/>
    </xf>
    <xf numFmtId="0" fontId="23" fillId="0" borderId="0" xfId="0" applyFont="1" applyProtection="1">
      <protection hidden="1"/>
    </xf>
    <xf numFmtId="0" fontId="0" fillId="0" borderId="0" xfId="0" applyNumberFormat="1" applyProtection="1">
      <protection hidden="1"/>
    </xf>
    <xf numFmtId="0" fontId="24" fillId="0" borderId="0" xfId="0" applyFont="1" applyProtection="1">
      <protection hidden="1"/>
    </xf>
    <xf numFmtId="2" fontId="0" fillId="0" borderId="0" xfId="0" applyNumberFormat="1" applyProtection="1">
      <protection hidden="1"/>
    </xf>
    <xf numFmtId="0" fontId="0" fillId="5" borderId="33" xfId="0" applyFill="1" applyBorder="1" applyAlignment="1" applyProtection="1">
      <alignment horizontal="center" vertical="center"/>
      <protection locked="0"/>
    </xf>
    <xf numFmtId="2" fontId="0" fillId="2" borderId="34" xfId="0" applyNumberFormat="1" applyFill="1" applyBorder="1" applyAlignment="1" applyProtection="1">
      <alignment horizontal="center" vertical="center"/>
      <protection hidden="1"/>
    </xf>
    <xf numFmtId="0" fontId="7" fillId="2" borderId="35" xfId="0" applyFont="1" applyFill="1" applyBorder="1" applyAlignment="1" applyProtection="1">
      <protection hidden="1"/>
    </xf>
    <xf numFmtId="0" fontId="7" fillId="2" borderId="36" xfId="0" applyFont="1" applyFill="1" applyBorder="1" applyAlignment="1" applyProtection="1">
      <protection hidden="1"/>
    </xf>
    <xf numFmtId="0" fontId="5" fillId="2" borderId="37" xfId="0" applyFont="1" applyFill="1" applyBorder="1" applyProtection="1">
      <protection hidden="1"/>
    </xf>
    <xf numFmtId="0" fontId="0" fillId="5" borderId="38" xfId="0" applyFill="1" applyBorder="1" applyAlignment="1" applyProtection="1">
      <alignment horizontal="center"/>
      <protection locked="0"/>
    </xf>
    <xf numFmtId="2" fontId="0" fillId="2" borderId="39" xfId="0" applyNumberFormat="1" applyFill="1" applyBorder="1" applyAlignment="1" applyProtection="1">
      <alignment horizontal="center"/>
      <protection hidden="1"/>
    </xf>
    <xf numFmtId="0" fontId="6" fillId="3" borderId="53" xfId="0" applyFont="1" applyFill="1" applyBorder="1" applyAlignment="1" applyProtection="1">
      <alignment horizontal="left"/>
      <protection hidden="1"/>
    </xf>
    <xf numFmtId="49" fontId="0" fillId="2" borderId="32" xfId="0" applyNumberFormat="1" applyFont="1" applyFill="1" applyBorder="1" applyAlignment="1" applyProtection="1">
      <alignment horizontal="left" vertical="center" wrapText="1"/>
      <protection hidden="1"/>
    </xf>
    <xf numFmtId="1" fontId="0" fillId="5" borderId="33" xfId="0" applyNumberFormat="1" applyFill="1" applyBorder="1" applyAlignment="1" applyProtection="1">
      <alignment horizontal="center"/>
      <protection locked="0"/>
    </xf>
    <xf numFmtId="2" fontId="0" fillId="2" borderId="34" xfId="0" applyNumberFormat="1" applyFont="1" applyFill="1" applyBorder="1" applyAlignment="1" applyProtection="1">
      <alignment horizontal="center"/>
      <protection hidden="1"/>
    </xf>
    <xf numFmtId="0" fontId="0" fillId="2" borderId="35" xfId="0" applyFont="1" applyFill="1" applyBorder="1" applyProtection="1">
      <protection hidden="1"/>
    </xf>
    <xf numFmtId="2" fontId="0" fillId="2" borderId="36" xfId="0" applyNumberFormat="1" applyFill="1" applyBorder="1" applyAlignment="1" applyProtection="1">
      <alignment horizontal="center"/>
      <protection hidden="1"/>
    </xf>
    <xf numFmtId="0" fontId="5" fillId="2" borderId="37" xfId="0" applyFont="1" applyFill="1" applyBorder="1" applyAlignment="1" applyProtection="1">
      <alignment horizontal="right"/>
      <protection hidden="1"/>
    </xf>
    <xf numFmtId="4" fontId="10" fillId="2" borderId="38" xfId="0" applyNumberFormat="1" applyFont="1" applyFill="1" applyBorder="1" applyAlignment="1" applyProtection="1">
      <alignment horizontal="center"/>
      <protection hidden="1"/>
    </xf>
    <xf numFmtId="0" fontId="0" fillId="7" borderId="32" xfId="0" applyFont="1" applyFill="1" applyBorder="1" applyProtection="1">
      <protection hidden="1"/>
    </xf>
    <xf numFmtId="2" fontId="0" fillId="5" borderId="33" xfId="0" applyNumberFormat="1" applyFill="1" applyBorder="1" applyAlignment="1" applyProtection="1">
      <alignment horizontal="center" vertical="center"/>
      <protection locked="0"/>
    </xf>
    <xf numFmtId="0" fontId="0" fillId="7" borderId="35" xfId="0" applyFont="1" applyFill="1" applyBorder="1" applyProtection="1">
      <protection hidden="1"/>
    </xf>
    <xf numFmtId="2" fontId="0" fillId="2" borderId="36" xfId="0" applyNumberFormat="1" applyFill="1" applyBorder="1" applyAlignment="1" applyProtection="1">
      <alignment horizontal="center" vertical="center"/>
      <protection hidden="1"/>
    </xf>
    <xf numFmtId="0" fontId="0" fillId="7" borderId="35" xfId="0" applyFont="1" applyFill="1" applyBorder="1" applyAlignment="1" applyProtection="1">
      <alignment wrapText="1"/>
      <protection hidden="1"/>
    </xf>
    <xf numFmtId="2" fontId="10" fillId="2" borderId="36" xfId="0" applyNumberFormat="1" applyFont="1" applyFill="1" applyBorder="1" applyAlignment="1" applyProtection="1">
      <alignment horizontal="center" vertical="center"/>
      <protection hidden="1"/>
    </xf>
    <xf numFmtId="0" fontId="0" fillId="2" borderId="36" xfId="0" applyFill="1" applyBorder="1" applyAlignment="1" applyProtection="1">
      <alignment horizontal="center" vertical="center"/>
      <protection hidden="1"/>
    </xf>
    <xf numFmtId="0" fontId="16" fillId="7" borderId="37" xfId="0" applyFont="1" applyFill="1" applyBorder="1" applyAlignment="1" applyProtection="1">
      <alignment horizontal="right"/>
      <protection hidden="1"/>
    </xf>
    <xf numFmtId="2" fontId="11" fillId="2" borderId="38" xfId="0" applyNumberFormat="1" applyFont="1" applyFill="1" applyBorder="1" applyAlignment="1" applyProtection="1">
      <alignment horizontal="center" vertical="center"/>
      <protection hidden="1"/>
    </xf>
    <xf numFmtId="0" fontId="0" fillId="7" borderId="35" xfId="0" applyFill="1" applyBorder="1" applyAlignment="1" applyProtection="1">
      <alignment wrapText="1"/>
      <protection hidden="1"/>
    </xf>
    <xf numFmtId="0" fontId="6" fillId="4" borderId="0" xfId="0" applyFont="1" applyFill="1" applyBorder="1" applyProtection="1">
      <protection hidden="1"/>
    </xf>
    <xf numFmtId="0" fontId="5" fillId="2" borderId="4" xfId="0" applyFont="1" applyFill="1" applyBorder="1" applyProtection="1">
      <protection hidden="1"/>
    </xf>
    <xf numFmtId="0" fontId="0" fillId="2" borderId="0" xfId="0" applyFont="1" applyFill="1" applyBorder="1" applyAlignment="1" applyProtection="1">
      <alignment wrapText="1"/>
      <protection hidden="1"/>
    </xf>
    <xf numFmtId="0" fontId="0" fillId="2" borderId="0" xfId="0" applyFont="1" applyFill="1" applyBorder="1" applyAlignment="1" applyProtection="1">
      <alignment horizontal="left" wrapText="1"/>
      <protection hidden="1"/>
    </xf>
    <xf numFmtId="0" fontId="5" fillId="2" borderId="0" xfId="0" applyFont="1" applyFill="1" applyBorder="1" applyAlignment="1" applyProtection="1">
      <alignment wrapText="1"/>
      <protection hidden="1"/>
    </xf>
    <xf numFmtId="0" fontId="5" fillId="2" borderId="9" xfId="0" applyFont="1" applyFill="1" applyBorder="1" applyAlignment="1" applyProtection="1">
      <alignment horizontal="right" wrapText="1"/>
      <protection hidden="1"/>
    </xf>
    <xf numFmtId="0" fontId="6" fillId="4" borderId="0" xfId="0" applyFont="1" applyFill="1" applyBorder="1" applyAlignment="1" applyProtection="1">
      <alignment wrapText="1"/>
      <protection hidden="1"/>
    </xf>
    <xf numFmtId="0" fontId="5" fillId="2" borderId="12" xfId="0" applyFont="1" applyFill="1" applyBorder="1" applyAlignment="1" applyProtection="1">
      <alignment wrapText="1"/>
      <protection hidden="1"/>
    </xf>
    <xf numFmtId="0" fontId="5" fillId="2" borderId="4" xfId="0" applyFont="1" applyFill="1" applyBorder="1" applyAlignment="1" applyProtection="1">
      <alignment vertical="center" wrapText="1"/>
      <protection hidden="1"/>
    </xf>
    <xf numFmtId="0" fontId="5" fillId="6" borderId="9" xfId="0" applyFont="1" applyFill="1" applyBorder="1" applyProtection="1">
      <protection hidden="1"/>
    </xf>
    <xf numFmtId="0" fontId="5" fillId="2" borderId="4" xfId="0" applyFont="1" applyFill="1" applyBorder="1" applyAlignment="1" applyProtection="1">
      <alignment horizontal="left" vertical="center" wrapText="1"/>
      <protection hidden="1"/>
    </xf>
    <xf numFmtId="0" fontId="5" fillId="2" borderId="0" xfId="0" applyFont="1" applyFill="1" applyBorder="1" applyAlignment="1" applyProtection="1">
      <alignment horizontal="right" vertical="center" wrapText="1"/>
      <protection hidden="1"/>
    </xf>
    <xf numFmtId="0" fontId="5" fillId="2" borderId="9" xfId="0" applyFont="1" applyFill="1" applyBorder="1" applyAlignment="1" applyProtection="1">
      <alignment horizontal="right" vertical="center" wrapText="1"/>
      <protection hidden="1"/>
    </xf>
    <xf numFmtId="0" fontId="6" fillId="4" borderId="0" xfId="0" applyFont="1" applyFill="1" applyBorder="1" applyAlignment="1" applyProtection="1">
      <protection hidden="1"/>
    </xf>
    <xf numFmtId="0" fontId="5" fillId="2" borderId="38" xfId="0" applyFont="1" applyFill="1" applyBorder="1" applyProtection="1">
      <protection hidden="1"/>
    </xf>
    <xf numFmtId="0" fontId="6" fillId="2" borderId="0" xfId="0" applyFont="1" applyFill="1" applyBorder="1" applyProtection="1">
      <protection hidden="1"/>
    </xf>
    <xf numFmtId="0" fontId="5" fillId="2" borderId="9" xfId="0" applyFont="1" applyFill="1" applyBorder="1" applyAlignment="1" applyProtection="1">
      <alignment horizontal="right"/>
      <protection hidden="1"/>
    </xf>
    <xf numFmtId="0" fontId="5" fillId="2" borderId="4" xfId="0" applyFont="1" applyFill="1" applyBorder="1" applyAlignment="1" applyProtection="1">
      <alignment horizontal="left"/>
      <protection hidden="1"/>
    </xf>
    <xf numFmtId="0" fontId="5" fillId="2" borderId="0" xfId="0" applyFont="1" applyFill="1" applyBorder="1" applyAlignment="1" applyProtection="1">
      <alignment horizontal="left" wrapText="1"/>
      <protection hidden="1"/>
    </xf>
    <xf numFmtId="0" fontId="6" fillId="3" borderId="0" xfId="0" applyFont="1" applyFill="1" applyBorder="1" applyProtection="1">
      <protection hidden="1"/>
    </xf>
    <xf numFmtId="0" fontId="5" fillId="2" borderId="4" xfId="0" applyFont="1" applyFill="1" applyBorder="1" applyAlignment="1" applyProtection="1">
      <alignment wrapText="1"/>
      <protection hidden="1"/>
    </xf>
    <xf numFmtId="0" fontId="5" fillId="2" borderId="9" xfId="0" applyFont="1" applyFill="1" applyBorder="1" applyAlignment="1" applyProtection="1">
      <alignment wrapText="1"/>
      <protection hidden="1"/>
    </xf>
    <xf numFmtId="0" fontId="6" fillId="3" borderId="0" xfId="0" applyFont="1" applyFill="1" applyBorder="1" applyAlignment="1" applyProtection="1">
      <alignment wrapText="1"/>
      <protection hidden="1"/>
    </xf>
    <xf numFmtId="0" fontId="5" fillId="2" borderId="9" xfId="0" applyFont="1" applyFill="1" applyBorder="1" applyProtection="1">
      <protection hidden="1"/>
    </xf>
    <xf numFmtId="0" fontId="12" fillId="4" borderId="0" xfId="0" applyFont="1" applyFill="1" applyBorder="1" applyProtection="1">
      <protection hidden="1"/>
    </xf>
    <xf numFmtId="0" fontId="13" fillId="3" borderId="0" xfId="1" applyNumberFormat="1" applyFont="1" applyFill="1" applyBorder="1" applyAlignment="1" applyProtection="1">
      <alignment horizontal="left"/>
      <protection hidden="1"/>
    </xf>
    <xf numFmtId="49" fontId="0" fillId="2" borderId="33" xfId="0" applyNumberFormat="1" applyFont="1" applyFill="1" applyBorder="1" applyAlignment="1" applyProtection="1">
      <alignment horizontal="left" vertical="center" wrapText="1"/>
      <protection hidden="1"/>
    </xf>
    <xf numFmtId="0" fontId="5" fillId="2" borderId="38" xfId="0" applyFont="1" applyFill="1" applyBorder="1" applyAlignment="1" applyProtection="1">
      <alignment horizontal="right"/>
      <protection hidden="1"/>
    </xf>
    <xf numFmtId="0" fontId="6" fillId="3" borderId="0" xfId="0" applyFont="1" applyFill="1" applyBorder="1" applyAlignment="1" applyProtection="1">
      <alignment horizontal="left"/>
      <protection hidden="1"/>
    </xf>
    <xf numFmtId="0" fontId="0" fillId="2" borderId="4" xfId="0" applyFont="1" applyFill="1" applyBorder="1" applyProtection="1">
      <protection hidden="1"/>
    </xf>
    <xf numFmtId="0" fontId="16" fillId="2" borderId="9" xfId="0" applyFont="1" applyFill="1" applyBorder="1" applyAlignment="1" applyProtection="1">
      <alignment horizontal="right"/>
      <protection hidden="1"/>
    </xf>
    <xf numFmtId="0" fontId="0" fillId="7" borderId="33" xfId="0" applyFont="1" applyFill="1" applyBorder="1" applyProtection="1">
      <protection hidden="1"/>
    </xf>
    <xf numFmtId="0" fontId="0" fillId="7" borderId="0" xfId="0" applyFont="1" applyFill="1" applyBorder="1" applyProtection="1">
      <protection hidden="1"/>
    </xf>
    <xf numFmtId="0" fontId="0" fillId="7" borderId="0" xfId="0" applyFont="1" applyFill="1" applyBorder="1" applyAlignment="1" applyProtection="1">
      <alignment wrapText="1"/>
      <protection hidden="1"/>
    </xf>
    <xf numFmtId="0" fontId="0" fillId="7" borderId="0" xfId="0" applyFill="1" applyBorder="1" applyAlignment="1" applyProtection="1">
      <alignment wrapText="1"/>
      <protection hidden="1"/>
    </xf>
    <xf numFmtId="0" fontId="16" fillId="7" borderId="38" xfId="0" applyFont="1" applyFill="1" applyBorder="1" applyAlignment="1" applyProtection="1">
      <alignment horizontal="right"/>
      <protection hidden="1"/>
    </xf>
    <xf numFmtId="0" fontId="0" fillId="7" borderId="4" xfId="0" applyFont="1" applyFill="1" applyBorder="1" applyProtection="1">
      <protection hidden="1"/>
    </xf>
    <xf numFmtId="0" fontId="0" fillId="7" borderId="0" xfId="0" applyFont="1" applyFill="1" applyBorder="1" applyAlignment="1" applyProtection="1">
      <alignment horizontal="right"/>
      <protection hidden="1"/>
    </xf>
    <xf numFmtId="0" fontId="0" fillId="7" borderId="0" xfId="0" applyFont="1" applyFill="1" applyBorder="1" applyAlignment="1" applyProtection="1">
      <alignment horizontal="left"/>
      <protection hidden="1"/>
    </xf>
    <xf numFmtId="0" fontId="16" fillId="7" borderId="9" xfId="0" applyFont="1" applyFill="1" applyBorder="1" applyAlignment="1" applyProtection="1">
      <alignment horizontal="right"/>
      <protection hidden="1"/>
    </xf>
    <xf numFmtId="0" fontId="0" fillId="2" borderId="12" xfId="0" applyFont="1" applyFill="1" applyBorder="1" applyAlignment="1" applyProtection="1">
      <alignment horizontal="left"/>
      <protection hidden="1"/>
    </xf>
    <xf numFmtId="0" fontId="0" fillId="2" borderId="12" xfId="0" applyFont="1" applyFill="1" applyBorder="1" applyProtection="1">
      <protection hidden="1"/>
    </xf>
    <xf numFmtId="0" fontId="5" fillId="2" borderId="12" xfId="0" applyFont="1" applyFill="1" applyBorder="1" applyAlignment="1" applyProtection="1">
      <alignment horizontal="right"/>
      <protection hidden="1"/>
    </xf>
    <xf numFmtId="0" fontId="5" fillId="2" borderId="12" xfId="0" applyFont="1" applyFill="1" applyBorder="1" applyProtection="1">
      <protection hidden="1"/>
    </xf>
    <xf numFmtId="0" fontId="5" fillId="2" borderId="4" xfId="0" applyFont="1" applyFill="1" applyBorder="1" applyAlignment="1" applyProtection="1">
      <alignment horizontal="right"/>
      <protection hidden="1"/>
    </xf>
    <xf numFmtId="0" fontId="0" fillId="2" borderId="4" xfId="0" applyFont="1" applyFill="1" applyBorder="1" applyAlignment="1" applyProtection="1">
      <alignment horizontal="left"/>
      <protection hidden="1"/>
    </xf>
    <xf numFmtId="0" fontId="0" fillId="2" borderId="0" xfId="0" applyFont="1" applyFill="1" applyBorder="1" applyAlignment="1" applyProtection="1">
      <alignment horizontal="right"/>
      <protection hidden="1"/>
    </xf>
    <xf numFmtId="0" fontId="25" fillId="2" borderId="6" xfId="0" applyFont="1" applyFill="1" applyBorder="1" applyProtection="1">
      <protection hidden="1"/>
    </xf>
    <xf numFmtId="0" fontId="28" fillId="2" borderId="0" xfId="0" applyFont="1" applyFill="1" applyBorder="1" applyAlignment="1" applyProtection="1">
      <alignment vertical="top"/>
      <protection hidden="1"/>
    </xf>
    <xf numFmtId="0" fontId="28" fillId="2" borderId="0" xfId="0" applyFont="1" applyFill="1" applyBorder="1" applyAlignment="1" applyProtection="1">
      <alignment vertical="top" wrapText="1"/>
      <protection hidden="1"/>
    </xf>
    <xf numFmtId="0" fontId="28" fillId="2" borderId="6" xfId="0" applyFont="1" applyFill="1" applyBorder="1" applyAlignment="1" applyProtection="1">
      <alignment vertical="top" wrapText="1"/>
      <protection hidden="1"/>
    </xf>
    <xf numFmtId="0" fontId="28" fillId="2" borderId="6" xfId="0" applyFont="1" applyFill="1" applyBorder="1" applyAlignment="1" applyProtection="1">
      <alignment wrapText="1"/>
      <protection hidden="1"/>
    </xf>
    <xf numFmtId="0" fontId="5" fillId="9" borderId="0" xfId="0" applyFont="1" applyFill="1" applyBorder="1" applyAlignment="1" applyProtection="1">
      <alignment horizontal="center"/>
      <protection locked="0"/>
    </xf>
    <xf numFmtId="0" fontId="0" fillId="11" borderId="0" xfId="0" applyFont="1" applyFill="1" applyBorder="1" applyProtection="1">
      <protection hidden="1"/>
    </xf>
    <xf numFmtId="0" fontId="0" fillId="11" borderId="0" xfId="0" applyFont="1" applyFill="1" applyBorder="1" applyAlignment="1" applyProtection="1">
      <alignment horizontal="center"/>
      <protection hidden="1"/>
    </xf>
    <xf numFmtId="0" fontId="0" fillId="11" borderId="0" xfId="0" applyFill="1" applyBorder="1" applyProtection="1">
      <protection hidden="1"/>
    </xf>
    <xf numFmtId="0" fontId="0" fillId="12" borderId="0" xfId="0" applyFill="1" applyBorder="1" applyProtection="1">
      <protection hidden="1"/>
    </xf>
    <xf numFmtId="0" fontId="0" fillId="12" borderId="0" xfId="0" applyFill="1" applyBorder="1" applyAlignment="1" applyProtection="1">
      <alignment horizontal="left"/>
      <protection hidden="1"/>
    </xf>
    <xf numFmtId="0" fontId="5" fillId="12" borderId="6" xfId="0" applyFont="1" applyFill="1" applyBorder="1" applyAlignment="1" applyProtection="1">
      <alignment horizontal="left" vertical="center" wrapText="1"/>
      <protection hidden="1"/>
    </xf>
    <xf numFmtId="0" fontId="0" fillId="12" borderId="0" xfId="0" applyFont="1" applyFill="1" applyBorder="1" applyAlignment="1" applyProtection="1">
      <alignment horizontal="left" vertical="center" wrapText="1"/>
      <protection hidden="1"/>
    </xf>
    <xf numFmtId="2" fontId="0" fillId="12" borderId="7" xfId="0" applyNumberFormat="1" applyFill="1" applyBorder="1" applyAlignment="1" applyProtection="1">
      <alignment horizontal="center" vertical="center"/>
      <protection hidden="1"/>
    </xf>
    <xf numFmtId="0" fontId="5" fillId="12" borderId="4" xfId="0" applyFont="1" applyFill="1" applyBorder="1" applyAlignment="1" applyProtection="1">
      <alignment horizontal="left" vertical="center" wrapText="1"/>
      <protection hidden="1"/>
    </xf>
    <xf numFmtId="2" fontId="0" fillId="12" borderId="5" xfId="0" applyNumberFormat="1" applyFill="1" applyBorder="1" applyAlignment="1" applyProtection="1">
      <alignment horizontal="center"/>
      <protection hidden="1"/>
    </xf>
    <xf numFmtId="0" fontId="6" fillId="4" borderId="8" xfId="0" applyFont="1" applyFill="1" applyBorder="1" applyAlignment="1" applyProtection="1">
      <protection hidden="1"/>
    </xf>
    <xf numFmtId="0" fontId="6" fillId="4" borderId="9" xfId="0" applyFont="1" applyFill="1" applyBorder="1" applyAlignment="1" applyProtection="1">
      <protection hidden="1"/>
    </xf>
    <xf numFmtId="0" fontId="0" fillId="2" borderId="36" xfId="0" applyFill="1" applyBorder="1" applyProtection="1">
      <protection hidden="1"/>
    </xf>
    <xf numFmtId="0" fontId="0" fillId="9" borderId="0" xfId="0" applyFill="1" applyAlignment="1" applyProtection="1">
      <alignment horizontal="center"/>
      <protection locked="0"/>
    </xf>
    <xf numFmtId="0" fontId="0" fillId="2" borderId="55" xfId="0" applyFill="1" applyBorder="1" applyProtection="1">
      <protection hidden="1"/>
    </xf>
    <xf numFmtId="0" fontId="30" fillId="3" borderId="14" xfId="1" applyNumberFormat="1" applyFont="1" applyFill="1" applyBorder="1" applyAlignment="1" applyProtection="1">
      <alignment horizontal="left"/>
      <protection hidden="1"/>
    </xf>
    <xf numFmtId="0" fontId="6" fillId="13" borderId="0" xfId="0" applyFont="1" applyFill="1" applyBorder="1" applyAlignment="1" applyProtection="1">
      <alignment horizontal="left"/>
      <protection hidden="1"/>
    </xf>
    <xf numFmtId="0" fontId="0" fillId="5" borderId="0" xfId="0" applyFill="1" applyBorder="1" applyAlignment="1" applyProtection="1">
      <alignment horizontal="centerContinuous" vertical="distributed"/>
      <protection locked="0"/>
    </xf>
    <xf numFmtId="2" fontId="8" fillId="2" borderId="7" xfId="0" applyNumberFormat="1" applyFont="1" applyFill="1" applyBorder="1" applyAlignment="1" applyProtection="1">
      <alignment horizontal="centerContinuous" vertical="distributed"/>
      <protection hidden="1"/>
    </xf>
    <xf numFmtId="0" fontId="0" fillId="2" borderId="6" xfId="0" applyFont="1" applyFill="1" applyBorder="1" applyAlignment="1" applyProtection="1">
      <alignment horizontal="left" vertical="distributed"/>
      <protection hidden="1"/>
    </xf>
    <xf numFmtId="0" fontId="0" fillId="2" borderId="6" xfId="0" applyFont="1" applyFill="1" applyBorder="1" applyAlignment="1" applyProtection="1">
      <alignment vertical="top" wrapText="1"/>
      <protection hidden="1"/>
    </xf>
    <xf numFmtId="0" fontId="28" fillId="2" borderId="0" xfId="0" applyFont="1" applyFill="1" applyBorder="1" applyAlignment="1" applyProtection="1">
      <alignment horizontal="right" vertical="distributed" wrapText="1"/>
      <protection hidden="1"/>
    </xf>
    <xf numFmtId="0" fontId="0" fillId="2" borderId="0" xfId="0" applyFont="1" applyFill="1" applyBorder="1" applyAlignment="1" applyProtection="1">
      <alignment vertical="top" wrapText="1"/>
      <protection hidden="1"/>
    </xf>
    <xf numFmtId="0" fontId="0" fillId="12" borderId="0" xfId="0" applyFont="1" applyFill="1" applyBorder="1" applyAlignment="1" applyProtection="1">
      <alignment wrapText="1"/>
      <protection hidden="1"/>
    </xf>
    <xf numFmtId="0" fontId="0" fillId="2" borderId="6" xfId="0" applyFont="1" applyFill="1" applyBorder="1" applyAlignment="1" applyProtection="1">
      <alignment horizontal="left" vertical="distributed" wrapText="1"/>
      <protection hidden="1"/>
    </xf>
    <xf numFmtId="2" fontId="0" fillId="2" borderId="7" xfId="0" applyNumberFormat="1" applyFill="1" applyBorder="1" applyAlignment="1" applyProtection="1">
      <alignment horizontal="centerContinuous" vertical="distributed"/>
      <protection hidden="1"/>
    </xf>
    <xf numFmtId="1" fontId="0" fillId="9" borderId="0" xfId="0" applyNumberFormat="1" applyFont="1" applyFill="1" applyBorder="1" applyAlignment="1" applyProtection="1">
      <alignment horizontal="center"/>
      <protection locked="0"/>
    </xf>
    <xf numFmtId="0" fontId="3" fillId="0" borderId="36" xfId="0" applyFont="1" applyBorder="1" applyProtection="1">
      <protection hidden="1"/>
    </xf>
    <xf numFmtId="0" fontId="3" fillId="0" borderId="0" xfId="0" applyFont="1" applyBorder="1" applyProtection="1">
      <protection hidden="1"/>
    </xf>
    <xf numFmtId="0" fontId="0" fillId="0" borderId="62" xfId="0" applyFont="1" applyFill="1" applyBorder="1" applyAlignment="1" applyProtection="1">
      <alignment horizontal="centerContinuous" vertical="distributed"/>
      <protection hidden="1"/>
    </xf>
    <xf numFmtId="0" fontId="0" fillId="0" borderId="20" xfId="0" applyFont="1" applyBorder="1" applyAlignment="1" applyProtection="1">
      <alignment horizontal="centerContinuous" vertical="distributed"/>
      <protection hidden="1"/>
    </xf>
    <xf numFmtId="0" fontId="0" fillId="0" borderId="21" xfId="0" applyFont="1" applyBorder="1" applyAlignment="1" applyProtection="1">
      <alignment horizontal="centerContinuous" vertical="distributed"/>
      <protection hidden="1"/>
    </xf>
    <xf numFmtId="0" fontId="0" fillId="0" borderId="22" xfId="0" applyFont="1" applyBorder="1" applyAlignment="1" applyProtection="1">
      <alignment horizontal="centerContinuous" vertical="distributed"/>
      <protection hidden="1"/>
    </xf>
    <xf numFmtId="0" fontId="0" fillId="0" borderId="17" xfId="0" applyFont="1" applyBorder="1" applyAlignment="1" applyProtection="1">
      <alignment horizontal="centerContinuous" vertical="distributed"/>
      <protection hidden="1"/>
    </xf>
    <xf numFmtId="0" fontId="0" fillId="0" borderId="17" xfId="0" applyFont="1" applyBorder="1" applyAlignment="1" applyProtection="1">
      <alignment horizontal="centerContinuous" vertical="distributed" wrapText="1"/>
      <protection hidden="1"/>
    </xf>
    <xf numFmtId="0" fontId="0" fillId="0" borderId="23" xfId="0" applyFont="1" applyBorder="1" applyAlignment="1" applyProtection="1">
      <alignment horizontal="centerContinuous" vertical="distributed"/>
      <protection hidden="1"/>
    </xf>
    <xf numFmtId="0" fontId="0" fillId="0" borderId="24" xfId="0" applyFont="1" applyBorder="1" applyAlignment="1" applyProtection="1">
      <alignment horizontal="centerContinuous" vertical="distributed"/>
      <protection hidden="1"/>
    </xf>
    <xf numFmtId="0" fontId="8" fillId="0" borderId="22" xfId="0" applyFont="1" applyBorder="1" applyAlignment="1" applyProtection="1">
      <alignment horizontal="centerContinuous" vertical="distributed"/>
      <protection hidden="1"/>
    </xf>
    <xf numFmtId="0" fontId="0" fillId="0" borderId="17" xfId="0" applyBorder="1" applyAlignment="1" applyProtection="1">
      <alignment horizontal="centerContinuous" vertical="distributed"/>
      <protection hidden="1"/>
    </xf>
    <xf numFmtId="0" fontId="0" fillId="0" borderId="15" xfId="0" applyFont="1" applyBorder="1" applyAlignment="1" applyProtection="1">
      <alignment horizontal="centerContinuous" vertical="distributed"/>
      <protection hidden="1"/>
    </xf>
    <xf numFmtId="0" fontId="0" fillId="0" borderId="25" xfId="0" applyFont="1" applyBorder="1" applyAlignment="1" applyProtection="1">
      <alignment horizontal="centerContinuous" vertical="distributed"/>
      <protection hidden="1"/>
    </xf>
    <xf numFmtId="0" fontId="0" fillId="0" borderId="26" xfId="0" applyFont="1" applyBorder="1" applyAlignment="1" applyProtection="1">
      <alignment horizontal="centerContinuous" vertical="distributed"/>
      <protection hidden="1"/>
    </xf>
    <xf numFmtId="0" fontId="0" fillId="0" borderId="26" xfId="0" applyBorder="1" applyAlignment="1" applyProtection="1">
      <alignment horizontal="centerContinuous" vertical="distributed"/>
      <protection hidden="1"/>
    </xf>
    <xf numFmtId="0" fontId="0" fillId="0" borderId="17" xfId="0" applyFill="1" applyBorder="1" applyAlignment="1" applyProtection="1">
      <alignment horizontal="centerContinuous" vertical="distributed"/>
      <protection hidden="1"/>
    </xf>
    <xf numFmtId="0" fontId="0" fillId="0" borderId="22" xfId="0" applyBorder="1" applyAlignment="1" applyProtection="1">
      <alignment horizontal="centerContinuous" vertical="distributed"/>
      <protection hidden="1"/>
    </xf>
    <xf numFmtId="0" fontId="0" fillId="0" borderId="17" xfId="0" applyFont="1" applyFill="1" applyBorder="1" applyAlignment="1" applyProtection="1">
      <alignment horizontal="centerContinuous" vertical="distributed"/>
      <protection hidden="1"/>
    </xf>
    <xf numFmtId="0" fontId="0" fillId="0" borderId="26" xfId="0" applyFont="1" applyFill="1" applyBorder="1" applyAlignment="1" applyProtection="1">
      <alignment horizontal="centerContinuous" vertical="distributed"/>
      <protection hidden="1"/>
    </xf>
    <xf numFmtId="0" fontId="0" fillId="0" borderId="25" xfId="0" applyFont="1" applyFill="1" applyBorder="1" applyAlignment="1" applyProtection="1">
      <alignment horizontal="centerContinuous" vertical="distributed"/>
      <protection hidden="1"/>
    </xf>
    <xf numFmtId="0" fontId="0" fillId="0" borderId="63" xfId="0" applyFont="1" applyFill="1" applyBorder="1" applyAlignment="1" applyProtection="1">
      <alignment horizontal="centerContinuous" vertical="distributed"/>
      <protection hidden="1"/>
    </xf>
    <xf numFmtId="0" fontId="0" fillId="0" borderId="28" xfId="0" applyFont="1" applyBorder="1" applyAlignment="1" applyProtection="1">
      <alignment horizontal="centerContinuous" vertical="distributed"/>
      <protection hidden="1"/>
    </xf>
    <xf numFmtId="0" fontId="0" fillId="0" borderId="29" xfId="0" applyFont="1" applyBorder="1" applyAlignment="1" applyProtection="1">
      <alignment horizontal="centerContinuous" vertical="distributed"/>
      <protection hidden="1"/>
    </xf>
    <xf numFmtId="0" fontId="0" fillId="0" borderId="30" xfId="0" applyFont="1" applyBorder="1" applyAlignment="1" applyProtection="1">
      <alignment horizontal="centerContinuous" vertical="distributed"/>
      <protection hidden="1"/>
    </xf>
    <xf numFmtId="0" fontId="0" fillId="0" borderId="31" xfId="0" applyFont="1" applyBorder="1" applyAlignment="1" applyProtection="1">
      <alignment horizontal="centerContinuous" vertical="distributed"/>
      <protection hidden="1"/>
    </xf>
    <xf numFmtId="0" fontId="0" fillId="0" borderId="14" xfId="0" applyFont="1" applyBorder="1" applyAlignment="1" applyProtection="1">
      <alignment horizontal="centerContinuous" vertical="distributed"/>
      <protection hidden="1"/>
    </xf>
    <xf numFmtId="0" fontId="5" fillId="0" borderId="11" xfId="0" applyFont="1" applyBorder="1" applyAlignment="1" applyProtection="1">
      <alignment horizontal="right" vertical="distributed"/>
      <protection hidden="1"/>
    </xf>
    <xf numFmtId="0" fontId="0" fillId="0" borderId="22" xfId="0" applyFont="1" applyFill="1" applyBorder="1" applyAlignment="1" applyProtection="1">
      <alignment horizontal="centerContinuous" vertical="distributed"/>
      <protection hidden="1"/>
    </xf>
    <xf numFmtId="0" fontId="0" fillId="0" borderId="65" xfId="0" applyFont="1" applyFill="1" applyBorder="1" applyAlignment="1" applyProtection="1">
      <alignment horizontal="centerContinuous" vertical="distributed"/>
      <protection hidden="1"/>
    </xf>
    <xf numFmtId="0" fontId="0" fillId="0" borderId="66" xfId="0" applyFont="1" applyFill="1" applyBorder="1" applyAlignment="1" applyProtection="1">
      <alignment horizontal="centerContinuous" vertical="distributed"/>
      <protection hidden="1"/>
    </xf>
    <xf numFmtId="0" fontId="0" fillId="0" borderId="68" xfId="0" applyFont="1" applyFill="1" applyBorder="1" applyAlignment="1" applyProtection="1">
      <alignment horizontal="centerContinuous" vertical="distributed"/>
      <protection hidden="1"/>
    </xf>
    <xf numFmtId="0" fontId="0" fillId="0" borderId="73" xfId="0" applyFont="1" applyBorder="1" applyProtection="1">
      <protection hidden="1"/>
    </xf>
    <xf numFmtId="0" fontId="5" fillId="0" borderId="74" xfId="0" applyFont="1" applyBorder="1" applyAlignment="1" applyProtection="1">
      <alignment horizontal="right"/>
      <protection hidden="1"/>
    </xf>
    <xf numFmtId="0" fontId="0" fillId="0" borderId="75" xfId="0" applyFont="1" applyFill="1" applyBorder="1" applyAlignment="1" applyProtection="1">
      <alignment horizontal="centerContinuous" vertical="distributed"/>
      <protection hidden="1"/>
    </xf>
    <xf numFmtId="0" fontId="0" fillId="0" borderId="81" xfId="0" applyFont="1" applyFill="1" applyBorder="1" applyAlignment="1" applyProtection="1">
      <alignment horizontal="centerContinuous" vertical="distributed"/>
      <protection hidden="1"/>
    </xf>
    <xf numFmtId="0" fontId="31" fillId="2" borderId="0" xfId="0" applyFont="1" applyFill="1" applyBorder="1" applyAlignment="1" applyProtection="1">
      <alignment horizontal="left"/>
      <protection hidden="1"/>
    </xf>
    <xf numFmtId="0" fontId="6" fillId="13" borderId="0" xfId="0" applyFont="1" applyFill="1" applyBorder="1" applyProtection="1">
      <protection hidden="1"/>
    </xf>
    <xf numFmtId="0" fontId="30" fillId="15" borderId="6" xfId="1" applyFont="1" applyFill="1" applyBorder="1" applyAlignment="1" applyProtection="1">
      <alignment horizontal="left"/>
      <protection hidden="1"/>
    </xf>
    <xf numFmtId="0" fontId="0" fillId="2" borderId="85" xfId="0" applyFill="1" applyBorder="1" applyAlignment="1" applyProtection="1">
      <alignment horizontal="center"/>
      <protection hidden="1"/>
    </xf>
    <xf numFmtId="0" fontId="0" fillId="0" borderId="12" xfId="0" applyBorder="1" applyAlignment="1" applyProtection="1">
      <alignment horizontal="centerContinuous" vertical="distributed"/>
      <protection locked="0"/>
    </xf>
    <xf numFmtId="0" fontId="0" fillId="2" borderId="11" xfId="0" applyFont="1" applyFill="1" applyBorder="1" applyAlignment="1" applyProtection="1">
      <alignment horizontal="left" vertical="distributed" wrapText="1"/>
      <protection hidden="1"/>
    </xf>
    <xf numFmtId="0" fontId="5" fillId="2" borderId="11" xfId="0" applyFont="1" applyFill="1" applyBorder="1" applyAlignment="1" applyProtection="1">
      <alignment horizontal="left"/>
      <protection hidden="1"/>
    </xf>
    <xf numFmtId="2" fontId="0" fillId="2" borderId="13" xfId="0" applyNumberFormat="1" applyFill="1" applyBorder="1" applyAlignment="1" applyProtection="1">
      <alignment horizontal="centerContinuous" vertical="distributed"/>
      <protection hidden="1"/>
    </xf>
    <xf numFmtId="0" fontId="34" fillId="15" borderId="6" xfId="0" applyFont="1" applyFill="1" applyBorder="1" applyProtection="1">
      <protection hidden="1"/>
    </xf>
    <xf numFmtId="0" fontId="6" fillId="13" borderId="38" xfId="0" applyFont="1" applyFill="1" applyBorder="1" applyProtection="1">
      <protection hidden="1"/>
    </xf>
    <xf numFmtId="0" fontId="5" fillId="2" borderId="6" xfId="0" applyFont="1" applyFill="1" applyBorder="1" applyAlignment="1" applyProtection="1">
      <alignment horizontal="centerContinuous" vertical="distributed" wrapText="1"/>
      <protection hidden="1"/>
    </xf>
    <xf numFmtId="0" fontId="5" fillId="12" borderId="6" xfId="0" applyFont="1" applyFill="1" applyBorder="1" applyAlignment="1" applyProtection="1">
      <alignment horizontal="right"/>
      <protection hidden="1"/>
    </xf>
    <xf numFmtId="0" fontId="5" fillId="12" borderId="0" xfId="0" applyFont="1" applyFill="1" applyBorder="1" applyAlignment="1" applyProtection="1">
      <alignment horizontal="right"/>
      <protection hidden="1"/>
    </xf>
    <xf numFmtId="2" fontId="10" fillId="12" borderId="7" xfId="0" applyNumberFormat="1" applyFont="1" applyFill="1" applyBorder="1" applyAlignment="1" applyProtection="1">
      <alignment horizontal="center"/>
      <protection hidden="1"/>
    </xf>
    <xf numFmtId="2" fontId="0" fillId="12" borderId="0" xfId="0" applyNumberFormat="1" applyFill="1" applyBorder="1" applyAlignment="1" applyProtection="1">
      <alignment horizontal="left"/>
      <protection hidden="1"/>
    </xf>
    <xf numFmtId="0" fontId="36" fillId="2" borderId="0" xfId="0" applyFont="1" applyFill="1" applyBorder="1" applyAlignment="1" applyProtection="1">
      <alignment wrapText="1"/>
      <protection hidden="1"/>
    </xf>
    <xf numFmtId="0" fontId="38" fillId="2" borderId="6" xfId="0" applyFont="1" applyFill="1" applyBorder="1" applyAlignment="1" applyProtection="1">
      <alignment wrapText="1"/>
      <protection hidden="1"/>
    </xf>
    <xf numFmtId="0" fontId="39" fillId="2" borderId="0" xfId="0" applyFont="1" applyFill="1" applyBorder="1" applyAlignment="1" applyProtection="1">
      <alignment horizontal="left" vertical="center" wrapText="1"/>
      <protection hidden="1"/>
    </xf>
    <xf numFmtId="0" fontId="47" fillId="2" borderId="6" xfId="0" applyFont="1" applyFill="1" applyBorder="1" applyAlignment="1" applyProtection="1">
      <alignment horizontal="left" vertical="distributed" wrapText="1"/>
      <protection hidden="1"/>
    </xf>
    <xf numFmtId="0" fontId="0" fillId="18" borderId="87" xfId="0" applyFill="1" applyBorder="1" applyAlignment="1" applyProtection="1">
      <alignment horizontal="center"/>
      <protection locked="0"/>
    </xf>
    <xf numFmtId="0" fontId="7" fillId="2" borderId="0" xfId="0" applyFont="1" applyFill="1" applyBorder="1" applyAlignment="1" applyProtection="1">
      <alignment horizontal="left"/>
      <protection hidden="1"/>
    </xf>
    <xf numFmtId="0" fontId="5" fillId="2" borderId="6" xfId="0" applyFont="1" applyFill="1" applyBorder="1" applyAlignment="1" applyProtection="1">
      <alignment horizontal="left" vertical="distributed" wrapText="1"/>
      <protection hidden="1"/>
    </xf>
    <xf numFmtId="0" fontId="0" fillId="2" borderId="0" xfId="0" applyFill="1" applyBorder="1" applyAlignment="1" applyProtection="1">
      <alignment horizontal="left"/>
      <protection hidden="1"/>
    </xf>
    <xf numFmtId="0" fontId="0" fillId="2" borderId="0" xfId="0" applyFont="1" applyFill="1" applyBorder="1" applyAlignment="1" applyProtection="1">
      <alignment horizontal="left"/>
      <protection hidden="1"/>
    </xf>
    <xf numFmtId="0" fontId="5" fillId="2" borderId="0" xfId="0" applyFont="1" applyFill="1" applyBorder="1" applyAlignment="1" applyProtection="1">
      <alignment horizontal="center"/>
      <protection hidden="1"/>
    </xf>
    <xf numFmtId="0" fontId="20" fillId="0" borderId="0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165" fontId="3" fillId="0" borderId="0" xfId="0" applyNumberFormat="1" applyFont="1" applyBorder="1" applyAlignment="1" applyProtection="1">
      <alignment horizontal="left"/>
      <protection hidden="1"/>
    </xf>
    <xf numFmtId="0" fontId="15" fillId="2" borderId="0" xfId="0" applyFont="1" applyFill="1" applyBorder="1" applyAlignment="1" applyProtection="1">
      <protection hidden="1"/>
    </xf>
    <xf numFmtId="0" fontId="0" fillId="2" borderId="55" xfId="0" applyFill="1" applyBorder="1" applyAlignment="1" applyProtection="1">
      <alignment horizontal="left"/>
      <protection hidden="1"/>
    </xf>
    <xf numFmtId="0" fontId="0" fillId="2" borderId="55" xfId="0" applyFill="1" applyBorder="1" applyAlignment="1" applyProtection="1">
      <alignment horizontal="center"/>
      <protection hidden="1"/>
    </xf>
    <xf numFmtId="0" fontId="0" fillId="5" borderId="55" xfId="0" applyFill="1" applyBorder="1" applyAlignment="1" applyProtection="1">
      <alignment horizontal="center"/>
      <protection locked="0"/>
    </xf>
    <xf numFmtId="0" fontId="0" fillId="2" borderId="88" xfId="0" applyFill="1" applyBorder="1" applyAlignment="1" applyProtection="1">
      <alignment horizontal="left"/>
      <protection hidden="1"/>
    </xf>
    <xf numFmtId="0" fontId="0" fillId="2" borderId="6" xfId="0" applyFill="1" applyBorder="1" applyAlignment="1" applyProtection="1">
      <alignment horizontal="center"/>
      <protection hidden="1"/>
    </xf>
    <xf numFmtId="0" fontId="0" fillId="8" borderId="0" xfId="0" applyFill="1" applyBorder="1" applyAlignment="1" applyProtection="1">
      <alignment horizontal="center"/>
      <protection hidden="1"/>
    </xf>
    <xf numFmtId="0" fontId="0" fillId="2" borderId="9" xfId="0" applyFill="1" applyBorder="1" applyAlignment="1" applyProtection="1">
      <alignment horizontal="left"/>
      <protection hidden="1"/>
    </xf>
    <xf numFmtId="0" fontId="0" fillId="12" borderId="0" xfId="0" applyFill="1" applyBorder="1" applyAlignment="1" applyProtection="1">
      <alignment horizontal="center"/>
      <protection hidden="1"/>
    </xf>
    <xf numFmtId="0" fontId="6" fillId="19" borderId="6" xfId="0" applyFont="1" applyFill="1" applyBorder="1" applyAlignment="1" applyProtection="1">
      <alignment horizontal="center"/>
      <protection hidden="1"/>
    </xf>
    <xf numFmtId="0" fontId="0" fillId="2" borderId="35" xfId="0" applyFill="1" applyBorder="1" applyAlignment="1" applyProtection="1">
      <alignment horizontal="left"/>
      <protection hidden="1"/>
    </xf>
    <xf numFmtId="2" fontId="0" fillId="12" borderId="10" xfId="0" applyNumberFormat="1" applyFill="1" applyBorder="1" applyAlignment="1" applyProtection="1">
      <alignment horizontal="center"/>
      <protection hidden="1"/>
    </xf>
    <xf numFmtId="0" fontId="0" fillId="20" borderId="0" xfId="0" applyFont="1" applyFill="1" applyBorder="1" applyAlignment="1" applyProtection="1">
      <alignment horizontal="center"/>
      <protection locked="0"/>
    </xf>
    <xf numFmtId="0" fontId="0" fillId="20" borderId="0" xfId="0" applyFill="1" applyBorder="1" applyAlignment="1" applyProtection="1">
      <alignment horizontal="center"/>
      <protection locked="0"/>
    </xf>
    <xf numFmtId="0" fontId="48" fillId="2" borderId="6" xfId="0" applyFont="1" applyFill="1" applyBorder="1" applyAlignment="1" applyProtection="1">
      <alignment horizontal="left"/>
      <protection hidden="1"/>
    </xf>
    <xf numFmtId="0" fontId="7" fillId="2" borderId="0" xfId="0" applyFont="1" applyFill="1" applyBorder="1" applyAlignment="1" applyProtection="1">
      <alignment horizontal="left"/>
      <protection hidden="1"/>
    </xf>
    <xf numFmtId="0" fontId="0" fillId="2" borderId="0" xfId="0" applyFill="1" applyBorder="1" applyAlignment="1" applyProtection="1">
      <alignment horizontal="left"/>
      <protection hidden="1"/>
    </xf>
    <xf numFmtId="0" fontId="5" fillId="2" borderId="0" xfId="0" applyFont="1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justify" wrapText="1"/>
      <protection hidden="1"/>
    </xf>
    <xf numFmtId="0" fontId="0" fillId="0" borderId="0" xfId="0" applyAlignment="1" applyProtection="1">
      <alignment vertical="top"/>
      <protection hidden="1"/>
    </xf>
    <xf numFmtId="2" fontId="7" fillId="2" borderId="0" xfId="0" applyNumberFormat="1" applyFont="1" applyFill="1" applyBorder="1" applyAlignment="1" applyProtection="1">
      <alignment horizontal="left"/>
      <protection hidden="1"/>
    </xf>
    <xf numFmtId="0" fontId="5" fillId="2" borderId="6" xfId="0" applyFont="1" applyFill="1" applyBorder="1" applyAlignment="1" applyProtection="1">
      <alignment horizontal="left" vertical="center" wrapText="1"/>
      <protection hidden="1"/>
    </xf>
    <xf numFmtId="0" fontId="5" fillId="2" borderId="0" xfId="0" applyFont="1" applyFill="1" applyBorder="1" applyAlignment="1" applyProtection="1">
      <alignment horizontal="left" vertical="center" wrapText="1"/>
      <protection hidden="1"/>
    </xf>
    <xf numFmtId="0" fontId="0" fillId="2" borderId="6" xfId="0" applyFont="1" applyFill="1" applyBorder="1" applyAlignment="1" applyProtection="1">
      <alignment horizontal="left" vertical="center" wrapText="1"/>
      <protection hidden="1"/>
    </xf>
    <xf numFmtId="0" fontId="0" fillId="2" borderId="0" xfId="0" applyFont="1" applyFill="1" applyBorder="1" applyAlignment="1" applyProtection="1">
      <alignment horizontal="left" vertical="center" wrapText="1"/>
      <protection hidden="1"/>
    </xf>
    <xf numFmtId="0" fontId="45" fillId="2" borderId="6" xfId="0" applyFont="1" applyFill="1" applyBorder="1" applyAlignment="1" applyProtection="1">
      <alignment horizontal="left" vertical="center" wrapText="1"/>
      <protection hidden="1"/>
    </xf>
    <xf numFmtId="0" fontId="6" fillId="4" borderId="0" xfId="0" applyFont="1" applyFill="1" applyBorder="1" applyAlignment="1" applyProtection="1">
      <alignment horizontal="left"/>
      <protection hidden="1"/>
    </xf>
    <xf numFmtId="0" fontId="28" fillId="2" borderId="0" xfId="0" applyFont="1" applyFill="1" applyBorder="1" applyAlignment="1" applyProtection="1">
      <alignment horizontal="left" vertical="top" wrapText="1"/>
      <protection hidden="1"/>
    </xf>
    <xf numFmtId="0" fontId="28" fillId="2" borderId="0" xfId="0" applyFont="1" applyFill="1" applyBorder="1" applyAlignment="1" applyProtection="1">
      <alignment horizontal="left" vertical="top"/>
      <protection hidden="1"/>
    </xf>
    <xf numFmtId="0" fontId="5" fillId="2" borderId="0" xfId="0" applyFont="1" applyFill="1" applyBorder="1" applyAlignment="1" applyProtection="1">
      <alignment horizontal="right"/>
      <protection hidden="1"/>
    </xf>
    <xf numFmtId="0" fontId="7" fillId="2" borderId="0" xfId="0" applyFont="1" applyFill="1" applyBorder="1" applyAlignment="1" applyProtection="1">
      <alignment horizontal="left"/>
      <protection hidden="1"/>
    </xf>
    <xf numFmtId="0" fontId="4" fillId="2" borderId="0" xfId="0" applyNumberFormat="1" applyFont="1" applyFill="1" applyBorder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alignment horizontal="left"/>
      <protection hidden="1"/>
    </xf>
    <xf numFmtId="0" fontId="7" fillId="2" borderId="0" xfId="0" applyFont="1" applyFill="1" applyBorder="1" applyAlignment="1" applyProtection="1">
      <alignment horizontal="center"/>
      <protection hidden="1"/>
    </xf>
    <xf numFmtId="0" fontId="0" fillId="2" borderId="0" xfId="0" applyFont="1" applyFill="1" applyBorder="1" applyAlignment="1" applyProtection="1">
      <alignment horizontal="left"/>
      <protection hidden="1"/>
    </xf>
    <xf numFmtId="0" fontId="5" fillId="2" borderId="0" xfId="0" applyFont="1" applyFill="1" applyBorder="1" applyAlignment="1" applyProtection="1">
      <alignment horizontal="center"/>
      <protection hidden="1"/>
    </xf>
    <xf numFmtId="0" fontId="0" fillId="0" borderId="0" xfId="0" applyBorder="1" applyAlignment="1" applyProtection="1">
      <alignment vertical="center"/>
      <protection hidden="1"/>
    </xf>
    <xf numFmtId="1" fontId="37" fillId="10" borderId="0" xfId="0" applyNumberFormat="1" applyFont="1" applyFill="1" applyBorder="1" applyAlignment="1" applyProtection="1">
      <alignment horizontal="center" vertical="center"/>
      <protection locked="0" hidden="1"/>
    </xf>
    <xf numFmtId="0" fontId="0" fillId="10" borderId="0" xfId="0" applyFill="1" applyBorder="1" applyAlignment="1" applyProtection="1">
      <alignment horizontal="center" vertical="center"/>
      <protection locked="0" hidden="1"/>
    </xf>
    <xf numFmtId="0" fontId="0" fillId="2" borderId="0" xfId="0" applyFill="1" applyBorder="1" applyAlignment="1" applyProtection="1">
      <alignment horizontal="center"/>
    </xf>
    <xf numFmtId="0" fontId="0" fillId="9" borderId="0" xfId="0" applyFill="1" applyBorder="1" applyAlignment="1" applyProtection="1">
      <alignment horizontal="center"/>
    </xf>
    <xf numFmtId="0" fontId="0" fillId="8" borderId="0" xfId="0" applyFont="1" applyFill="1" applyAlignment="1" applyProtection="1">
      <alignment wrapText="1"/>
    </xf>
    <xf numFmtId="0" fontId="28" fillId="8" borderId="0" xfId="0" applyFont="1" applyFill="1" applyAlignment="1" applyProtection="1">
      <alignment wrapText="1"/>
    </xf>
    <xf numFmtId="0" fontId="0" fillId="8" borderId="0" xfId="0" applyFont="1" applyFill="1" applyProtection="1"/>
    <xf numFmtId="0" fontId="28" fillId="8" borderId="6" xfId="0" applyFont="1" applyFill="1" applyBorder="1" applyAlignment="1" applyProtection="1"/>
    <xf numFmtId="0" fontId="28" fillId="8" borderId="0" xfId="0" applyFont="1" applyFill="1" applyAlignment="1" applyProtection="1"/>
    <xf numFmtId="0" fontId="28" fillId="8" borderId="0" xfId="0" applyFont="1" applyFill="1" applyAlignment="1" applyProtection="1">
      <alignment horizontal="left"/>
    </xf>
    <xf numFmtId="0" fontId="0" fillId="8" borderId="0" xfId="0" applyFont="1" applyFill="1" applyBorder="1" applyAlignment="1" applyProtection="1">
      <alignment horizontal="left"/>
    </xf>
    <xf numFmtId="0" fontId="0" fillId="8" borderId="0" xfId="0" applyFont="1" applyFill="1" applyAlignment="1" applyProtection="1">
      <alignment horizontal="left"/>
    </xf>
    <xf numFmtId="0" fontId="0" fillId="8" borderId="0" xfId="0" applyFont="1" applyFill="1" applyAlignment="1" applyProtection="1">
      <alignment horizontal="left" vertical="distributed"/>
    </xf>
    <xf numFmtId="0" fontId="5" fillId="8" borderId="0" xfId="0" applyFont="1" applyFill="1" applyProtection="1"/>
    <xf numFmtId="0" fontId="0" fillId="5" borderId="0" xfId="0" applyFill="1" applyBorder="1" applyAlignment="1" applyProtection="1">
      <alignment horizontal="center" vertical="center"/>
    </xf>
    <xf numFmtId="0" fontId="0" fillId="9" borderId="4" xfId="0" applyFill="1" applyBorder="1" applyAlignment="1" applyProtection="1">
      <alignment horizontal="center" vertical="center"/>
    </xf>
    <xf numFmtId="0" fontId="0" fillId="9" borderId="0" xfId="0" applyFill="1" applyBorder="1" applyAlignment="1" applyProtection="1">
      <alignment horizontal="center" vertical="center"/>
    </xf>
    <xf numFmtId="2" fontId="0" fillId="2" borderId="0" xfId="0" applyNumberFormat="1" applyFill="1" applyBorder="1" applyAlignment="1" applyProtection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center" vertical="center"/>
    </xf>
    <xf numFmtId="0" fontId="0" fillId="2" borderId="9" xfId="0" applyFill="1" applyBorder="1" applyAlignment="1" applyProtection="1">
      <alignment horizontal="center"/>
    </xf>
    <xf numFmtId="0" fontId="23" fillId="2" borderId="0" xfId="0" applyFont="1" applyFill="1" applyProtection="1">
      <protection hidden="1"/>
    </xf>
    <xf numFmtId="0" fontId="49" fillId="2" borderId="0" xfId="0" applyFont="1" applyFill="1" applyProtection="1">
      <protection hidden="1"/>
    </xf>
    <xf numFmtId="0" fontId="17" fillId="2" borderId="0" xfId="1" applyNumberFormat="1" applyFont="1" applyFill="1" applyBorder="1" applyAlignment="1" applyProtection="1">
      <alignment horizontal="center"/>
      <protection hidden="1"/>
    </xf>
    <xf numFmtId="165" fontId="3" fillId="0" borderId="0" xfId="0" applyNumberFormat="1" applyFont="1" applyBorder="1" applyAlignment="1" applyProtection="1">
      <alignment horizontal="left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0" fillId="8" borderId="0" xfId="0" applyFill="1"/>
    <xf numFmtId="0" fontId="23" fillId="12" borderId="0" xfId="0" applyFont="1" applyFill="1" applyAlignment="1" applyProtection="1">
      <alignment horizontal="left"/>
      <protection hidden="1"/>
    </xf>
    <xf numFmtId="0" fontId="49" fillId="12" borderId="0" xfId="0" applyFont="1" applyFill="1" applyBorder="1" applyAlignment="1" applyProtection="1">
      <alignment horizontal="left"/>
      <protection hidden="1"/>
    </xf>
    <xf numFmtId="0" fontId="49" fillId="12" borderId="0" xfId="0" applyFont="1" applyFill="1" applyAlignment="1" applyProtection="1">
      <alignment horizontal="left"/>
      <protection hidden="1"/>
    </xf>
    <xf numFmtId="0" fontId="3" fillId="0" borderId="0" xfId="0" applyFont="1" applyBorder="1" applyAlignment="1" applyProtection="1">
      <alignment horizontal="left"/>
      <protection hidden="1"/>
    </xf>
    <xf numFmtId="0" fontId="5" fillId="0" borderId="0" xfId="0" applyFont="1" applyFill="1" applyBorder="1" applyProtection="1">
      <protection hidden="1"/>
    </xf>
    <xf numFmtId="0" fontId="0" fillId="0" borderId="0" xfId="0" applyFont="1" applyFill="1" applyBorder="1" applyAlignment="1" applyProtection="1">
      <alignment horizontal="center"/>
      <protection hidden="1"/>
    </xf>
    <xf numFmtId="2" fontId="0" fillId="0" borderId="0" xfId="0" applyNumberFormat="1" applyFill="1" applyBorder="1" applyAlignment="1" applyProtection="1">
      <alignment horizontal="center"/>
      <protection hidden="1"/>
    </xf>
    <xf numFmtId="0" fontId="17" fillId="0" borderId="0" xfId="1" applyNumberFormat="1" applyFont="1" applyFill="1" applyBorder="1" applyAlignment="1" applyProtection="1">
      <alignment horizontal="center"/>
      <protection hidden="1"/>
    </xf>
    <xf numFmtId="0" fontId="0" fillId="0" borderId="0" xfId="0" applyFill="1" applyBorder="1" applyAlignment="1" applyProtection="1">
      <alignment horizontal="center"/>
      <protection hidden="1"/>
    </xf>
    <xf numFmtId="0" fontId="0" fillId="0" borderId="0" xfId="0" applyFill="1" applyBorder="1" applyAlignment="1" applyProtection="1">
      <alignment horizontal="left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5" fillId="0" borderId="0" xfId="0" applyFont="1" applyBorder="1" applyAlignment="1" applyProtection="1">
      <alignment horizontal="right"/>
      <protection hidden="1"/>
    </xf>
    <xf numFmtId="0" fontId="5" fillId="0" borderId="4" xfId="0" applyFont="1" applyBorder="1" applyAlignment="1" applyProtection="1">
      <alignment horizontal="right"/>
      <protection hidden="1"/>
    </xf>
    <xf numFmtId="2" fontId="3" fillId="0" borderId="4" xfId="0" applyNumberFormat="1" applyFont="1" applyBorder="1" applyAlignment="1" applyProtection="1">
      <alignment horizontal="center"/>
      <protection hidden="1"/>
    </xf>
    <xf numFmtId="0" fontId="0" fillId="0" borderId="89" xfId="0" applyBorder="1" applyAlignment="1" applyProtection="1">
      <alignment horizontal="center" vertical="center"/>
      <protection hidden="1"/>
    </xf>
    <xf numFmtId="0" fontId="5" fillId="2" borderId="6" xfId="0" applyFont="1" applyFill="1" applyBorder="1" applyAlignment="1" applyProtection="1">
      <alignment horizontal="left" vertical="center" wrapText="1"/>
      <protection hidden="1"/>
    </xf>
    <xf numFmtId="0" fontId="5" fillId="2" borderId="0" xfId="0" applyFont="1" applyFill="1" applyBorder="1" applyAlignment="1" applyProtection="1">
      <alignment horizontal="left" vertical="center" wrapText="1"/>
      <protection hidden="1"/>
    </xf>
    <xf numFmtId="0" fontId="0" fillId="2" borderId="6" xfId="0" applyFont="1" applyFill="1" applyBorder="1" applyAlignment="1" applyProtection="1">
      <alignment horizontal="left" vertical="center" wrapText="1"/>
      <protection hidden="1"/>
    </xf>
    <xf numFmtId="0" fontId="0" fillId="2" borderId="0" xfId="0" applyFont="1" applyFill="1" applyBorder="1" applyAlignment="1" applyProtection="1">
      <alignment horizontal="left" vertical="center" wrapText="1"/>
      <protection hidden="1"/>
    </xf>
    <xf numFmtId="0" fontId="5" fillId="8" borderId="35" xfId="0" applyFont="1" applyFill="1" applyBorder="1" applyAlignment="1" applyProtection="1">
      <alignment horizontal="left"/>
    </xf>
    <xf numFmtId="0" fontId="5" fillId="8" borderId="0" xfId="0" applyFont="1" applyFill="1" applyAlignment="1" applyProtection="1">
      <alignment horizontal="left"/>
    </xf>
    <xf numFmtId="0" fontId="5" fillId="2" borderId="32" xfId="0" applyFont="1" applyFill="1" applyBorder="1" applyAlignment="1" applyProtection="1">
      <alignment horizontal="left" wrapText="1"/>
      <protection hidden="1"/>
    </xf>
    <xf numFmtId="0" fontId="5" fillId="2" borderId="33" xfId="0" applyFont="1" applyFill="1" applyBorder="1" applyAlignment="1" applyProtection="1">
      <alignment horizontal="left" wrapText="1"/>
      <protection hidden="1"/>
    </xf>
    <xf numFmtId="0" fontId="45" fillId="2" borderId="6" xfId="0" applyFont="1" applyFill="1" applyBorder="1" applyAlignment="1" applyProtection="1">
      <alignment horizontal="left" vertical="center" wrapText="1"/>
      <protection hidden="1"/>
    </xf>
    <xf numFmtId="0" fontId="45" fillId="2" borderId="0" xfId="0" applyFont="1" applyFill="1" applyBorder="1" applyAlignment="1" applyProtection="1">
      <alignment horizontal="left" vertical="center" wrapText="1"/>
      <protection hidden="1"/>
    </xf>
    <xf numFmtId="0" fontId="7" fillId="2" borderId="0" xfId="0" applyFont="1" applyFill="1" applyBorder="1" applyAlignment="1" applyProtection="1">
      <alignment horizontal="left"/>
      <protection hidden="1"/>
    </xf>
    <xf numFmtId="0" fontId="15" fillId="2" borderId="0" xfId="0" applyFont="1" applyFill="1" applyBorder="1" applyAlignment="1" applyProtection="1">
      <alignment horizontal="left"/>
      <protection hidden="1"/>
    </xf>
    <xf numFmtId="0" fontId="7" fillId="2" borderId="6" xfId="0" applyFont="1" applyFill="1" applyBorder="1" applyAlignment="1" applyProtection="1">
      <alignment horizontal="left"/>
      <protection hidden="1"/>
    </xf>
    <xf numFmtId="0" fontId="28" fillId="8" borderId="6" xfId="0" applyFont="1" applyFill="1" applyBorder="1" applyAlignment="1" applyProtection="1">
      <alignment horizontal="left"/>
    </xf>
    <xf numFmtId="0" fontId="28" fillId="8" borderId="0" xfId="0" applyFont="1" applyFill="1" applyAlignment="1" applyProtection="1">
      <alignment horizontal="left"/>
    </xf>
    <xf numFmtId="0" fontId="43" fillId="17" borderId="6" xfId="0" applyFont="1" applyFill="1" applyBorder="1" applyAlignment="1" applyProtection="1">
      <alignment horizontal="left" vertical="center" wrapText="1"/>
      <protection hidden="1"/>
    </xf>
    <xf numFmtId="0" fontId="43" fillId="17" borderId="0" xfId="0" applyFont="1" applyFill="1" applyBorder="1" applyAlignment="1" applyProtection="1">
      <alignment horizontal="left" vertical="center" wrapText="1"/>
      <protection hidden="1"/>
    </xf>
    <xf numFmtId="0" fontId="6" fillId="4" borderId="6" xfId="0" applyFont="1" applyFill="1" applyBorder="1" applyAlignment="1" applyProtection="1">
      <alignment horizontal="left"/>
      <protection hidden="1"/>
    </xf>
    <xf numFmtId="0" fontId="6" fillId="4" borderId="0" xfId="0" applyFont="1" applyFill="1" applyBorder="1" applyAlignment="1" applyProtection="1">
      <alignment horizontal="left"/>
      <protection hidden="1"/>
    </xf>
    <xf numFmtId="0" fontId="6" fillId="14" borderId="9" xfId="0" applyFont="1" applyFill="1" applyBorder="1" applyAlignment="1" applyProtection="1">
      <alignment horizontal="center"/>
      <protection hidden="1"/>
    </xf>
    <xf numFmtId="0" fontId="0" fillId="2" borderId="54" xfId="0" applyFont="1" applyFill="1" applyBorder="1" applyAlignment="1" applyProtection="1">
      <alignment horizontal="left" vertical="distributed"/>
      <protection hidden="1"/>
    </xf>
    <xf numFmtId="0" fontId="0" fillId="2" borderId="0" xfId="0" applyFont="1" applyFill="1" applyBorder="1" applyAlignment="1" applyProtection="1">
      <alignment horizontal="left" vertical="distributed"/>
      <protection hidden="1"/>
    </xf>
    <xf numFmtId="0" fontId="40" fillId="2" borderId="6" xfId="0" applyFont="1" applyFill="1" applyBorder="1" applyAlignment="1" applyProtection="1">
      <alignment horizontal="left" vertical="center" wrapText="1"/>
      <protection hidden="1"/>
    </xf>
    <xf numFmtId="0" fontId="40" fillId="2" borderId="0" xfId="0" applyFont="1" applyFill="1" applyBorder="1" applyAlignment="1" applyProtection="1">
      <alignment horizontal="left" vertical="center" wrapText="1"/>
      <protection hidden="1"/>
    </xf>
    <xf numFmtId="0" fontId="28" fillId="2" borderId="0" xfId="0" applyFont="1" applyFill="1" applyBorder="1" applyAlignment="1" applyProtection="1">
      <alignment horizontal="left" vertical="top"/>
      <protection hidden="1"/>
    </xf>
    <xf numFmtId="0" fontId="28" fillId="2" borderId="0" xfId="0" applyFont="1" applyFill="1" applyBorder="1" applyAlignment="1" applyProtection="1">
      <alignment horizontal="left" vertical="top" wrapText="1"/>
      <protection hidden="1"/>
    </xf>
    <xf numFmtId="0" fontId="5" fillId="2" borderId="0" xfId="0" applyFont="1" applyFill="1" applyBorder="1" applyAlignment="1" applyProtection="1">
      <alignment horizontal="right"/>
      <protection hidden="1"/>
    </xf>
    <xf numFmtId="0" fontId="0" fillId="5" borderId="0" xfId="0" applyFill="1" applyBorder="1" applyAlignment="1" applyProtection="1">
      <alignment horizontal="left"/>
      <protection locked="0"/>
    </xf>
    <xf numFmtId="0" fontId="21" fillId="2" borderId="82" xfId="0" applyFont="1" applyFill="1" applyBorder="1" applyAlignment="1" applyProtection="1">
      <alignment horizontal="center" vertical="top" wrapText="1"/>
      <protection hidden="1"/>
    </xf>
    <xf numFmtId="0" fontId="21" fillId="2" borderId="82" xfId="0" applyFont="1" applyFill="1" applyBorder="1" applyAlignment="1" applyProtection="1">
      <alignment horizontal="center" vertical="top"/>
      <protection hidden="1"/>
    </xf>
    <xf numFmtId="0" fontId="32" fillId="16" borderId="83" xfId="1" applyFont="1" applyFill="1" applyBorder="1" applyAlignment="1" applyProtection="1">
      <alignment horizontal="center"/>
      <protection hidden="1"/>
    </xf>
    <xf numFmtId="0" fontId="32" fillId="16" borderId="84" xfId="1" applyFont="1" applyFill="1" applyBorder="1" applyAlignment="1" applyProtection="1">
      <alignment horizontal="center"/>
      <protection hidden="1"/>
    </xf>
    <xf numFmtId="0" fontId="32" fillId="16" borderId="86" xfId="1" applyFont="1" applyFill="1" applyBorder="1" applyAlignment="1" applyProtection="1">
      <alignment horizontal="center"/>
      <protection hidden="1"/>
    </xf>
    <xf numFmtId="0" fontId="33" fillId="2" borderId="0" xfId="0" applyFont="1" applyFill="1" applyBorder="1" applyAlignment="1" applyProtection="1">
      <alignment horizontal="center"/>
      <protection hidden="1"/>
    </xf>
    <xf numFmtId="2" fontId="7" fillId="2" borderId="6" xfId="0" applyNumberFormat="1" applyFont="1" applyFill="1" applyBorder="1" applyAlignment="1" applyProtection="1">
      <alignment horizontal="left"/>
      <protection hidden="1"/>
    </xf>
    <xf numFmtId="0" fontId="4" fillId="2" borderId="0" xfId="0" applyNumberFormat="1" applyFont="1" applyFill="1" applyBorder="1" applyAlignment="1" applyProtection="1">
      <alignment horizontal="center" vertical="center"/>
      <protection hidden="1"/>
    </xf>
    <xf numFmtId="0" fontId="29" fillId="17" borderId="6" xfId="0" applyFont="1" applyFill="1" applyBorder="1" applyAlignment="1" applyProtection="1">
      <alignment horizontal="center" vertical="distributed" wrapText="1"/>
      <protection hidden="1"/>
    </xf>
    <xf numFmtId="0" fontId="29" fillId="17" borderId="0" xfId="0" applyFont="1" applyFill="1" applyBorder="1" applyAlignment="1" applyProtection="1">
      <alignment horizontal="center" vertical="distributed" wrapText="1"/>
      <protection hidden="1"/>
    </xf>
    <xf numFmtId="0" fontId="5" fillId="2" borderId="6" xfId="0" applyFont="1" applyFill="1" applyBorder="1" applyAlignment="1" applyProtection="1">
      <alignment horizontal="left" vertical="distributed" wrapText="1"/>
      <protection hidden="1"/>
    </xf>
    <xf numFmtId="0" fontId="5" fillId="2" borderId="0" xfId="0" applyFont="1" applyFill="1" applyBorder="1" applyAlignment="1" applyProtection="1">
      <alignment horizontal="left" vertical="distributed" wrapText="1"/>
      <protection hidden="1"/>
    </xf>
    <xf numFmtId="0" fontId="7" fillId="2" borderId="6" xfId="0" applyFont="1" applyFill="1" applyBorder="1" applyAlignment="1" applyProtection="1">
      <alignment horizontal="center"/>
      <protection hidden="1"/>
    </xf>
    <xf numFmtId="0" fontId="21" fillId="2" borderId="0" xfId="0" applyFont="1" applyFill="1" applyBorder="1" applyAlignment="1" applyProtection="1">
      <alignment horizontal="center"/>
      <protection hidden="1"/>
    </xf>
    <xf numFmtId="0" fontId="0" fillId="2" borderId="0" xfId="0" applyFill="1" applyBorder="1" applyAlignment="1" applyProtection="1">
      <alignment horizontal="left"/>
      <protection hidden="1"/>
    </xf>
    <xf numFmtId="0" fontId="17" fillId="2" borderId="0" xfId="1" applyNumberFormat="1" applyFont="1" applyFill="1" applyBorder="1" applyAlignment="1" applyProtection="1">
      <alignment horizontal="center"/>
      <protection hidden="1"/>
    </xf>
    <xf numFmtId="0" fontId="2" fillId="2" borderId="0" xfId="0" applyFont="1" applyFill="1" applyBorder="1" applyAlignment="1" applyProtection="1">
      <alignment horizontal="center"/>
      <protection hidden="1"/>
    </xf>
    <xf numFmtId="0" fontId="7" fillId="2" borderId="0" xfId="0" applyFont="1" applyFill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2" borderId="0" xfId="0" applyFont="1" applyFill="1" applyBorder="1" applyAlignment="1" applyProtection="1">
      <alignment horizontal="left"/>
      <protection hidden="1"/>
    </xf>
    <xf numFmtId="1" fontId="0" fillId="5" borderId="0" xfId="0" applyNumberFormat="1" applyFill="1" applyBorder="1" applyAlignment="1" applyProtection="1">
      <alignment horizontal="left"/>
      <protection locked="0"/>
    </xf>
    <xf numFmtId="0" fontId="5" fillId="2" borderId="0" xfId="0" applyFont="1" applyFill="1" applyBorder="1" applyAlignment="1" applyProtection="1">
      <alignment horizontal="center"/>
      <protection hidden="1"/>
    </xf>
    <xf numFmtId="0" fontId="49" fillId="2" borderId="0" xfId="0" applyFont="1" applyFill="1" applyBorder="1" applyAlignment="1" applyProtection="1">
      <alignment horizontal="left"/>
      <protection hidden="1"/>
    </xf>
    <xf numFmtId="0" fontId="3" fillId="2" borderId="0" xfId="0" applyFont="1" applyFill="1" applyBorder="1" applyAlignment="1" applyProtection="1">
      <alignment horizontal="center"/>
      <protection hidden="1"/>
    </xf>
    <xf numFmtId="49" fontId="5" fillId="2" borderId="0" xfId="0" applyNumberFormat="1" applyFont="1" applyFill="1" applyBorder="1" applyAlignment="1" applyProtection="1">
      <alignment horizontal="right"/>
      <protection hidden="1"/>
    </xf>
    <xf numFmtId="0" fontId="49" fillId="12" borderId="0" xfId="0" applyFont="1" applyFill="1" applyBorder="1" applyAlignment="1" applyProtection="1">
      <alignment horizontal="left"/>
      <protection hidden="1"/>
    </xf>
    <xf numFmtId="0" fontId="0" fillId="2" borderId="0" xfId="0" applyFill="1" applyAlignment="1" applyProtection="1">
      <alignment horizontal="center"/>
      <protection hidden="1"/>
    </xf>
    <xf numFmtId="2" fontId="3" fillId="0" borderId="16" xfId="0" applyNumberFormat="1" applyFont="1" applyBorder="1" applyAlignment="1" applyProtection="1">
      <alignment horizontal="center" vertical="distributed"/>
      <protection hidden="1"/>
    </xf>
    <xf numFmtId="0" fontId="3" fillId="0" borderId="40" xfId="0" applyFont="1" applyBorder="1" applyAlignment="1" applyProtection="1">
      <alignment horizontal="center" vertical="distributed"/>
      <protection hidden="1"/>
    </xf>
    <xf numFmtId="0" fontId="20" fillId="0" borderId="0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right"/>
      <protection hidden="1"/>
    </xf>
    <xf numFmtId="0" fontId="22" fillId="0" borderId="51" xfId="0" applyFont="1" applyBorder="1" applyAlignment="1" applyProtection="1">
      <alignment horizontal="center" vertical="center" wrapText="1"/>
      <protection hidden="1"/>
    </xf>
    <xf numFmtId="0" fontId="22" fillId="0" borderId="52" xfId="0" applyFont="1" applyBorder="1" applyAlignment="1" applyProtection="1">
      <alignment horizontal="center" vertical="center" wrapText="1"/>
      <protection hidden="1"/>
    </xf>
    <xf numFmtId="2" fontId="3" fillId="0" borderId="49" xfId="0" applyNumberFormat="1" applyFont="1" applyBorder="1" applyAlignment="1" applyProtection="1">
      <alignment horizontal="center" vertical="distributed"/>
      <protection hidden="1"/>
    </xf>
    <xf numFmtId="0" fontId="3" fillId="0" borderId="50" xfId="0" applyFont="1" applyBorder="1" applyAlignment="1" applyProtection="1">
      <alignment horizontal="center" vertical="distributed"/>
      <protection hidden="1"/>
    </xf>
    <xf numFmtId="2" fontId="3" fillId="0" borderId="18" xfId="0" applyNumberFormat="1" applyFont="1" applyFill="1" applyBorder="1" applyAlignment="1" applyProtection="1">
      <alignment horizontal="center" vertical="distributed"/>
      <protection hidden="1"/>
    </xf>
    <xf numFmtId="0" fontId="3" fillId="0" borderId="40" xfId="0" applyFont="1" applyFill="1" applyBorder="1" applyAlignment="1" applyProtection="1">
      <alignment horizontal="center" vertical="distributed"/>
      <protection hidden="1"/>
    </xf>
    <xf numFmtId="2" fontId="3" fillId="0" borderId="47" xfId="0" applyNumberFormat="1" applyFont="1" applyBorder="1" applyAlignment="1" applyProtection="1">
      <alignment horizontal="center" vertical="distributed"/>
      <protection hidden="1"/>
    </xf>
    <xf numFmtId="0" fontId="3" fillId="0" borderId="56" xfId="0" applyFont="1" applyBorder="1" applyAlignment="1" applyProtection="1">
      <alignment horizontal="center" vertical="distributed"/>
      <protection hidden="1"/>
    </xf>
    <xf numFmtId="0" fontId="3" fillId="0" borderId="45" xfId="0" applyFont="1" applyBorder="1" applyAlignment="1" applyProtection="1">
      <alignment horizontal="center" vertical="distributed"/>
      <protection hidden="1"/>
    </xf>
    <xf numFmtId="2" fontId="3" fillId="0" borderId="41" xfId="0" applyNumberFormat="1" applyFont="1" applyFill="1" applyBorder="1" applyAlignment="1" applyProtection="1">
      <alignment horizontal="center" vertical="distributed"/>
      <protection hidden="1"/>
    </xf>
    <xf numFmtId="0" fontId="3" fillId="0" borderId="48" xfId="0" applyFont="1" applyFill="1" applyBorder="1" applyAlignment="1" applyProtection="1">
      <alignment horizontal="center" vertical="distributed"/>
      <protection hidden="1"/>
    </xf>
    <xf numFmtId="2" fontId="3" fillId="0" borderId="59" xfId="0" applyNumberFormat="1" applyFont="1" applyFill="1" applyBorder="1" applyAlignment="1" applyProtection="1">
      <alignment horizontal="center" vertical="distributed"/>
      <protection hidden="1"/>
    </xf>
    <xf numFmtId="2" fontId="3" fillId="0" borderId="60" xfId="0" applyNumberFormat="1" applyFont="1" applyFill="1" applyBorder="1" applyAlignment="1" applyProtection="1">
      <alignment horizontal="center" vertical="distributed"/>
      <protection hidden="1"/>
    </xf>
    <xf numFmtId="2" fontId="3" fillId="0" borderId="61" xfId="0" applyNumberFormat="1" applyFont="1" applyFill="1" applyBorder="1" applyAlignment="1" applyProtection="1">
      <alignment horizontal="center" vertical="distributed"/>
      <protection hidden="1"/>
    </xf>
    <xf numFmtId="0" fontId="3" fillId="0" borderId="57" xfId="0" applyFont="1" applyFill="1" applyBorder="1" applyAlignment="1" applyProtection="1">
      <alignment horizontal="center" vertical="distributed"/>
      <protection hidden="1"/>
    </xf>
    <xf numFmtId="0" fontId="3" fillId="0" borderId="58" xfId="0" applyFont="1" applyFill="1" applyBorder="1" applyAlignment="1" applyProtection="1">
      <alignment horizontal="center" vertical="distributed"/>
      <protection hidden="1"/>
    </xf>
    <xf numFmtId="0" fontId="3" fillId="0" borderId="64" xfId="0" applyFont="1" applyFill="1" applyBorder="1" applyAlignment="1" applyProtection="1">
      <alignment horizontal="center" vertical="distributed"/>
      <protection hidden="1"/>
    </xf>
    <xf numFmtId="2" fontId="3" fillId="0" borderId="18" xfId="0" applyNumberFormat="1" applyFont="1" applyBorder="1" applyAlignment="1" applyProtection="1">
      <alignment horizontal="center" vertical="distributed"/>
      <protection hidden="1"/>
    </xf>
    <xf numFmtId="2" fontId="3" fillId="0" borderId="46" xfId="0" applyNumberFormat="1" applyFont="1" applyBorder="1" applyAlignment="1" applyProtection="1">
      <alignment horizontal="center" vertical="distributed"/>
      <protection hidden="1"/>
    </xf>
    <xf numFmtId="0" fontId="0" fillId="0" borderId="43" xfId="0" applyBorder="1" applyAlignment="1" applyProtection="1">
      <alignment horizontal="center" vertical="distributed"/>
      <protection hidden="1"/>
    </xf>
    <xf numFmtId="1" fontId="3" fillId="0" borderId="0" xfId="0" applyNumberFormat="1" applyFont="1" applyBorder="1" applyAlignment="1" applyProtection="1">
      <alignment horizontal="center"/>
      <protection hidden="1"/>
    </xf>
    <xf numFmtId="0" fontId="22" fillId="0" borderId="42" xfId="0" applyFont="1" applyBorder="1" applyAlignment="1" applyProtection="1">
      <alignment horizontal="center" vertical="center" wrapText="1"/>
      <protection hidden="1"/>
    </xf>
    <xf numFmtId="0" fontId="22" fillId="0" borderId="43" xfId="0" applyFont="1" applyBorder="1" applyAlignment="1" applyProtection="1">
      <alignment horizontal="center" vertical="center" wrapText="1"/>
      <protection hidden="1"/>
    </xf>
    <xf numFmtId="2" fontId="3" fillId="0" borderId="44" xfId="0" applyNumberFormat="1" applyFont="1" applyBorder="1" applyAlignment="1" applyProtection="1">
      <alignment horizontal="center" vertical="distributed"/>
      <protection hidden="1"/>
    </xf>
    <xf numFmtId="0" fontId="3" fillId="0" borderId="0" xfId="0" applyFont="1" applyBorder="1" applyAlignment="1" applyProtection="1">
      <alignment horizontal="center"/>
      <protection hidden="1"/>
    </xf>
    <xf numFmtId="2" fontId="3" fillId="0" borderId="41" xfId="0" applyNumberFormat="1" applyFont="1" applyBorder="1" applyAlignment="1" applyProtection="1">
      <alignment horizontal="center" vertical="distributed"/>
      <protection hidden="1"/>
    </xf>
    <xf numFmtId="2" fontId="3" fillId="0" borderId="42" xfId="0" applyNumberFormat="1" applyFont="1" applyBorder="1" applyAlignment="1" applyProtection="1">
      <alignment horizontal="center" vertical="distributed"/>
      <protection hidden="1"/>
    </xf>
    <xf numFmtId="2" fontId="3" fillId="0" borderId="43" xfId="0" applyNumberFormat="1" applyFont="1" applyBorder="1" applyAlignment="1" applyProtection="1">
      <alignment horizontal="center" vertical="distributed"/>
      <protection hidden="1"/>
    </xf>
    <xf numFmtId="165" fontId="3" fillId="0" borderId="0" xfId="0" applyNumberFormat="1" applyFont="1" applyBorder="1" applyAlignment="1" applyProtection="1">
      <alignment horizontal="left"/>
      <protection hidden="1"/>
    </xf>
    <xf numFmtId="0" fontId="0" fillId="0" borderId="90" xfId="0" applyBorder="1" applyAlignment="1" applyProtection="1">
      <alignment horizontal="left" vertical="center"/>
      <protection hidden="1"/>
    </xf>
    <xf numFmtId="0" fontId="3" fillId="0" borderId="48" xfId="0" applyFont="1" applyBorder="1" applyAlignment="1" applyProtection="1">
      <alignment horizontal="center" vertical="distributed"/>
      <protection hidden="1"/>
    </xf>
    <xf numFmtId="2" fontId="3" fillId="0" borderId="46" xfId="0" applyNumberFormat="1" applyFont="1" applyBorder="1" applyAlignment="1" applyProtection="1">
      <alignment horizontal="center"/>
      <protection hidden="1"/>
    </xf>
    <xf numFmtId="0" fontId="0" fillId="0" borderId="43" xfId="0" applyBorder="1" applyAlignment="1" applyProtection="1">
      <alignment horizontal="center"/>
      <protection hidden="1"/>
    </xf>
    <xf numFmtId="2" fontId="3" fillId="0" borderId="42" xfId="0" applyNumberFormat="1" applyFont="1" applyBorder="1" applyAlignment="1" applyProtection="1">
      <alignment horizontal="center"/>
      <protection hidden="1"/>
    </xf>
    <xf numFmtId="2" fontId="3" fillId="0" borderId="43" xfId="0" applyNumberFormat="1" applyFont="1" applyBorder="1" applyAlignment="1" applyProtection="1">
      <alignment horizontal="center"/>
      <protection hidden="1"/>
    </xf>
    <xf numFmtId="0" fontId="3" fillId="0" borderId="90" xfId="0" applyFont="1" applyBorder="1" applyAlignment="1" applyProtection="1">
      <alignment horizontal="left"/>
      <protection hidden="1"/>
    </xf>
    <xf numFmtId="2" fontId="3" fillId="0" borderId="67" xfId="0" applyNumberFormat="1" applyFont="1" applyFill="1" applyBorder="1" applyAlignment="1" applyProtection="1">
      <alignment horizontal="center" vertical="distributed"/>
      <protection hidden="1"/>
    </xf>
    <xf numFmtId="0" fontId="3" fillId="0" borderId="70" xfId="0" applyFont="1" applyFill="1" applyBorder="1" applyAlignment="1" applyProtection="1">
      <alignment horizontal="center" vertical="distributed"/>
      <protection hidden="1"/>
    </xf>
    <xf numFmtId="0" fontId="3" fillId="0" borderId="71" xfId="0" applyFont="1" applyFill="1" applyBorder="1" applyAlignment="1" applyProtection="1">
      <alignment horizontal="center" vertical="distributed"/>
      <protection hidden="1"/>
    </xf>
    <xf numFmtId="0" fontId="3" fillId="0" borderId="72" xfId="0" applyFont="1" applyFill="1" applyBorder="1" applyAlignment="1" applyProtection="1">
      <alignment horizontal="center" vertical="distributed"/>
      <protection hidden="1"/>
    </xf>
    <xf numFmtId="2" fontId="3" fillId="0" borderId="79" xfId="0" applyNumberFormat="1" applyFont="1" applyFill="1" applyBorder="1" applyAlignment="1" applyProtection="1">
      <alignment horizontal="center" vertical="distributed"/>
      <protection hidden="1"/>
    </xf>
    <xf numFmtId="0" fontId="3" fillId="0" borderId="80" xfId="0" applyFont="1" applyFill="1" applyBorder="1" applyAlignment="1" applyProtection="1">
      <alignment horizontal="center" vertical="distributed"/>
      <protection hidden="1"/>
    </xf>
    <xf numFmtId="165" fontId="3" fillId="0" borderId="4" xfId="0" applyNumberFormat="1" applyFont="1" applyBorder="1" applyAlignment="1" applyProtection="1">
      <alignment horizontal="left"/>
      <protection hidden="1"/>
    </xf>
    <xf numFmtId="0" fontId="3" fillId="0" borderId="56" xfId="0" applyFont="1" applyFill="1" applyBorder="1" applyAlignment="1" applyProtection="1">
      <alignment horizontal="center" vertical="distributed"/>
      <protection hidden="1"/>
    </xf>
    <xf numFmtId="0" fontId="0" fillId="0" borderId="76" xfId="0" applyBorder="1" applyAlignment="1" applyProtection="1">
      <alignment horizontal="center"/>
      <protection hidden="1"/>
    </xf>
    <xf numFmtId="0" fontId="0" fillId="0" borderId="77" xfId="0" applyBorder="1" applyAlignment="1" applyProtection="1">
      <alignment horizontal="center"/>
      <protection hidden="1"/>
    </xf>
    <xf numFmtId="0" fontId="0" fillId="0" borderId="78" xfId="0" applyBorder="1" applyAlignment="1" applyProtection="1">
      <alignment horizontal="center"/>
      <protection hidden="1"/>
    </xf>
    <xf numFmtId="2" fontId="3" fillId="0" borderId="69" xfId="0" applyNumberFormat="1" applyFont="1" applyBorder="1" applyAlignment="1" applyProtection="1">
      <alignment horizontal="center"/>
      <protection hidden="1"/>
    </xf>
    <xf numFmtId="0" fontId="0" fillId="0" borderId="13" xfId="0" applyBorder="1" applyAlignment="1" applyProtection="1">
      <alignment horizontal="center"/>
      <protection hidden="1"/>
    </xf>
  </cellXfs>
  <cellStyles count="3">
    <cellStyle name="Hiperlink" xfId="1" builtinId="8"/>
    <cellStyle name="Normal" xfId="0" builtinId="0"/>
    <cellStyle name="Título 1 1" xfId="2"/>
  </cellStyles>
  <dxfs count="102">
    <dxf>
      <font>
        <b val="0"/>
        <strike val="0"/>
        <condense val="0"/>
        <extend val="0"/>
        <color indexed="9"/>
      </font>
    </dxf>
    <dxf>
      <font>
        <b val="0"/>
        <strike val="0"/>
        <condense val="0"/>
        <extend val="0"/>
        <color indexed="9"/>
      </font>
    </dxf>
    <dxf>
      <font>
        <b val="0"/>
        <strike val="0"/>
        <condense val="0"/>
        <extend val="0"/>
        <color indexed="9"/>
      </font>
    </dxf>
    <dxf>
      <font>
        <b val="0"/>
        <strike val="0"/>
        <condense val="0"/>
        <extend val="0"/>
        <color indexed="9"/>
      </font>
    </dxf>
    <dxf>
      <font>
        <b val="0"/>
        <strike val="0"/>
        <condense val="0"/>
        <extend val="0"/>
        <color indexed="9"/>
      </font>
    </dxf>
    <dxf>
      <font>
        <b val="0"/>
        <strike val="0"/>
        <condense val="0"/>
        <extend val="0"/>
        <color indexed="9"/>
      </font>
    </dxf>
    <dxf>
      <font>
        <b val="0"/>
        <strike val="0"/>
        <condense val="0"/>
        <extend val="0"/>
        <color indexed="9"/>
      </font>
    </dxf>
    <dxf>
      <font>
        <b val="0"/>
        <strike val="0"/>
        <condense val="0"/>
        <extend val="0"/>
        <color indexed="9"/>
      </font>
    </dxf>
    <dxf>
      <font>
        <b val="0"/>
        <strike val="0"/>
        <condense val="0"/>
        <extend val="0"/>
        <color indexed="9"/>
      </font>
    </dxf>
    <dxf>
      <font>
        <b val="0"/>
        <strike val="0"/>
        <condense val="0"/>
        <extend val="0"/>
        <color indexed="9"/>
      </font>
    </dxf>
    <dxf>
      <font>
        <b val="0"/>
        <strike val="0"/>
        <condense val="0"/>
        <extend val="0"/>
        <color indexed="9"/>
      </font>
    </dxf>
    <dxf>
      <font>
        <b val="0"/>
        <strike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strike val="0"/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strike val="0"/>
        <condense val="0"/>
        <extend val="0"/>
        <color indexed="9"/>
      </font>
    </dxf>
    <dxf>
      <font>
        <b/>
        <i val="0"/>
        <condense val="0"/>
        <extend val="0"/>
        <color indexed="16"/>
      </font>
    </dxf>
    <dxf>
      <font>
        <b val="0"/>
        <condense val="0"/>
        <extend val="0"/>
        <color indexed="9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 val="0"/>
        <condense val="0"/>
        <extend val="0"/>
        <color indexed="22"/>
      </font>
    </dxf>
    <dxf>
      <font>
        <b/>
        <i val="0"/>
        <condense val="0"/>
        <extend val="0"/>
        <color indexed="16"/>
      </font>
    </dxf>
    <dxf>
      <font>
        <b val="0"/>
        <condense val="0"/>
        <extend val="0"/>
        <color indexed="22"/>
      </font>
    </dxf>
    <dxf>
      <font>
        <b val="0"/>
        <condense val="0"/>
        <extend val="0"/>
        <color indexed="22"/>
      </font>
    </dxf>
    <dxf>
      <font>
        <b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 val="0"/>
        <condense val="0"/>
        <extend val="0"/>
        <color indexed="22"/>
      </font>
    </dxf>
    <dxf>
      <font>
        <b val="0"/>
        <condense val="0"/>
        <extend val="0"/>
        <color indexed="22"/>
      </font>
    </dxf>
    <dxf>
      <font>
        <b val="0"/>
        <condense val="0"/>
        <extend val="0"/>
        <color indexed="22"/>
      </font>
    </dxf>
    <dxf>
      <font>
        <b val="0"/>
        <condense val="0"/>
        <extend val="0"/>
        <color indexed="16"/>
      </font>
    </dxf>
    <dxf>
      <font>
        <b val="0"/>
        <condense val="0"/>
        <extend val="0"/>
        <color indexed="22"/>
      </font>
    </dxf>
    <dxf>
      <font>
        <b val="0"/>
        <condense val="0"/>
        <extend val="0"/>
        <color indexed="22"/>
      </font>
    </dxf>
    <dxf>
      <font>
        <b val="0"/>
        <condense val="0"/>
        <extend val="0"/>
        <color indexed="16"/>
      </font>
    </dxf>
    <dxf>
      <font>
        <b val="0"/>
        <condense val="0"/>
        <extend val="0"/>
        <color indexed="22"/>
      </font>
    </dxf>
    <dxf>
      <font>
        <b val="0"/>
        <condense val="0"/>
        <extend val="0"/>
        <color indexed="16"/>
      </font>
    </dxf>
    <dxf>
      <font>
        <b val="0"/>
        <condense val="0"/>
        <extend val="0"/>
        <color indexed="22"/>
      </font>
    </dxf>
    <dxf>
      <font>
        <b val="0"/>
        <condense val="0"/>
        <extend val="0"/>
        <color indexed="22"/>
      </font>
    </dxf>
    <dxf>
      <font>
        <b val="0"/>
        <condense val="0"/>
        <extend val="0"/>
        <color indexed="16"/>
      </font>
    </dxf>
    <dxf>
      <font>
        <b val="0"/>
        <condense val="0"/>
        <extend val="0"/>
        <color indexed="22"/>
      </font>
    </dxf>
    <dxf>
      <font>
        <b val="0"/>
        <condense val="0"/>
        <extend val="0"/>
        <color indexed="16"/>
      </font>
    </dxf>
    <dxf>
      <font>
        <b val="0"/>
        <condense val="0"/>
        <extend val="0"/>
        <color indexed="22"/>
      </font>
    </dxf>
    <dxf>
      <font>
        <b val="0"/>
        <condense val="0"/>
        <extend val="0"/>
        <color indexed="22"/>
      </font>
    </dxf>
    <dxf>
      <font>
        <b val="0"/>
        <condense val="0"/>
        <extend val="0"/>
        <color indexed="16"/>
      </font>
    </dxf>
    <dxf>
      <font>
        <b val="0"/>
        <condense val="0"/>
        <extend val="0"/>
        <color indexed="22"/>
      </font>
    </dxf>
    <dxf>
      <font>
        <b val="0"/>
        <condense val="0"/>
        <extend val="0"/>
        <color indexed="16"/>
      </font>
    </dxf>
    <dxf>
      <font>
        <b val="0"/>
        <condense val="0"/>
        <extend val="0"/>
        <color indexed="22"/>
      </font>
    </dxf>
    <dxf>
      <font>
        <b val="0"/>
        <condense val="0"/>
        <extend val="0"/>
        <color indexed="22"/>
      </font>
    </dxf>
    <dxf>
      <font>
        <b val="0"/>
        <condense val="0"/>
        <extend val="0"/>
        <color indexed="16"/>
      </font>
    </dxf>
    <dxf>
      <font>
        <b val="0"/>
        <condense val="0"/>
        <extend val="0"/>
        <color indexed="22"/>
      </font>
    </dxf>
    <dxf>
      <font>
        <b val="0"/>
        <condense val="0"/>
        <extend val="0"/>
        <color indexed="16"/>
      </font>
    </dxf>
    <dxf>
      <font>
        <b val="0"/>
        <condense val="0"/>
        <extend val="0"/>
        <color indexed="22"/>
      </font>
    </dxf>
    <dxf>
      <font>
        <b val="0"/>
        <condense val="0"/>
        <extend val="0"/>
        <color indexed="22"/>
      </font>
    </dxf>
    <dxf>
      <font>
        <b val="0"/>
        <condense val="0"/>
        <extend val="0"/>
        <color indexed="16"/>
      </font>
    </dxf>
    <dxf>
      <font>
        <b val="0"/>
        <condense val="0"/>
        <extend val="0"/>
        <color indexed="22"/>
      </font>
    </dxf>
    <dxf>
      <font>
        <b val="0"/>
        <condense val="0"/>
        <extend val="0"/>
        <color indexed="55"/>
      </font>
    </dxf>
    <dxf>
      <font>
        <b/>
        <i val="0"/>
        <condense val="0"/>
        <extend val="0"/>
        <color indexed="16"/>
      </font>
    </dxf>
    <dxf>
      <font>
        <b val="0"/>
        <condense val="0"/>
        <extend val="0"/>
        <color indexed="55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 val="0"/>
        <condense val="0"/>
        <extend val="0"/>
        <color indexed="55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 val="0"/>
        <condense val="0"/>
        <extend val="0"/>
        <color indexed="55"/>
      </font>
    </dxf>
    <dxf>
      <font>
        <b/>
        <i val="0"/>
        <condense val="0"/>
        <extend val="0"/>
        <color indexed="16"/>
      </font>
    </dxf>
    <dxf>
      <font>
        <b val="0"/>
        <condense val="0"/>
        <extend val="0"/>
        <color indexed="55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 val="0"/>
        <condense val="0"/>
        <extend val="0"/>
        <color indexed="55"/>
      </font>
    </dxf>
    <dxf>
      <font>
        <b val="0"/>
        <condense val="0"/>
        <extend val="0"/>
        <color indexed="55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 val="0"/>
        <condense val="0"/>
        <extend val="0"/>
        <color indexed="55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 val="0"/>
        <condense val="0"/>
        <extend val="0"/>
        <color indexed="55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 val="0"/>
        <condense val="0"/>
        <extend val="0"/>
        <color indexed="55"/>
      </font>
    </dxf>
    <dxf>
      <font>
        <b val="0"/>
        <condense val="0"/>
        <extend val="0"/>
        <color indexed="55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 val="0"/>
        <condense val="0"/>
        <extend val="0"/>
        <color indexed="55"/>
      </font>
    </dxf>
    <dxf>
      <font>
        <b val="0"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condense val="0"/>
        <extend val="0"/>
        <color indexed="10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 val="0"/>
        <condense val="0"/>
        <extend val="0"/>
        <color indexed="22"/>
      </font>
    </dxf>
    <dxf>
      <font>
        <b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</dxfs>
  <tableStyles count="0" defaultTableStyle="TableStyleMedium2" defaultPivotStyle="PivotStyleLight16"/>
  <colors>
    <mruColors>
      <color rgb="FFFFE5FF"/>
      <color rgb="FFDA0000"/>
      <color rgb="FF888888"/>
      <color rgb="FF777777"/>
      <color rgb="FF5151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914400</xdr:colOff>
      <xdr:row>6</xdr:row>
      <xdr:rowOff>93709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8575"/>
          <a:ext cx="885825" cy="898571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62</xdr:row>
      <xdr:rowOff>23812</xdr:rowOff>
    </xdr:from>
    <xdr:to>
      <xdr:col>0</xdr:col>
      <xdr:colOff>933450</xdr:colOff>
      <xdr:row>68</xdr:row>
      <xdr:rowOff>88945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1334750"/>
          <a:ext cx="885825" cy="886664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125</xdr:row>
      <xdr:rowOff>28575</xdr:rowOff>
    </xdr:from>
    <xdr:to>
      <xdr:col>0</xdr:col>
      <xdr:colOff>942975</xdr:colOff>
      <xdr:row>131</xdr:row>
      <xdr:rowOff>105615</xdr:rowOff>
    </xdr:to>
    <xdr:pic>
      <xdr:nvPicPr>
        <xdr:cNvPr id="10" name="Imagem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2621875"/>
          <a:ext cx="885825" cy="898571"/>
        </a:xfrm>
        <a:prstGeom prst="rect">
          <a:avLst/>
        </a:prstGeom>
      </xdr:spPr>
    </xdr:pic>
    <xdr:clientData/>
  </xdr:twoCellAnchor>
  <xdr:twoCellAnchor editAs="oneCell">
    <xdr:from>
      <xdr:col>0</xdr:col>
      <xdr:colOff>66778</xdr:colOff>
      <xdr:row>188</xdr:row>
      <xdr:rowOff>25055</xdr:rowOff>
    </xdr:from>
    <xdr:to>
      <xdr:col>1</xdr:col>
      <xdr:colOff>103</xdr:colOff>
      <xdr:row>194</xdr:row>
      <xdr:rowOff>47326</xdr:rowOff>
    </xdr:to>
    <xdr:pic>
      <xdr:nvPicPr>
        <xdr:cNvPr id="11" name="Imagem 10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78" y="34612711"/>
          <a:ext cx="885825" cy="849756"/>
        </a:xfrm>
        <a:prstGeom prst="rect">
          <a:avLst/>
        </a:prstGeom>
      </xdr:spPr>
    </xdr:pic>
    <xdr:clientData/>
  </xdr:twoCellAnchor>
  <xdr:twoCellAnchor editAs="oneCell">
    <xdr:from>
      <xdr:col>0</xdr:col>
      <xdr:colOff>73508</xdr:colOff>
      <xdr:row>251</xdr:row>
      <xdr:rowOff>23036</xdr:rowOff>
    </xdr:from>
    <xdr:to>
      <xdr:col>1</xdr:col>
      <xdr:colOff>6833</xdr:colOff>
      <xdr:row>257</xdr:row>
      <xdr:rowOff>45308</xdr:rowOff>
    </xdr:to>
    <xdr:pic>
      <xdr:nvPicPr>
        <xdr:cNvPr id="12" name="Imagem 1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08" y="46296677"/>
          <a:ext cx="885825" cy="849756"/>
        </a:xfrm>
        <a:prstGeom prst="rect">
          <a:avLst/>
        </a:prstGeom>
      </xdr:spPr>
    </xdr:pic>
    <xdr:clientData/>
  </xdr:twoCellAnchor>
  <xdr:twoCellAnchor editAs="oneCell">
    <xdr:from>
      <xdr:col>0</xdr:col>
      <xdr:colOff>61602</xdr:colOff>
      <xdr:row>314</xdr:row>
      <xdr:rowOff>12165</xdr:rowOff>
    </xdr:from>
    <xdr:to>
      <xdr:col>0</xdr:col>
      <xdr:colOff>947427</xdr:colOff>
      <xdr:row>320</xdr:row>
      <xdr:rowOff>34437</xdr:rowOff>
    </xdr:to>
    <xdr:pic>
      <xdr:nvPicPr>
        <xdr:cNvPr id="13" name="Imagem 1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02" y="57936071"/>
          <a:ext cx="885825" cy="8497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portaltj.tjrj.jus.br/documents/1017893/3111246/novas-custas-jud-14-03-2016.pdf" TargetMode="External"/><Relationship Id="rId1" Type="http://schemas.openxmlformats.org/officeDocument/2006/relationships/hyperlink" Target="http://cgj.tjrj.jus.br/servicos/custas/modelos-de-grerj/acoes" TargetMode="External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52"/>
  <sheetViews>
    <sheetView showGridLines="0" tabSelected="1" zoomScale="85" zoomScaleNormal="85" zoomScalePageLayoutView="10" workbookViewId="0">
      <selection activeCell="D11" sqref="A1:XFD1048576"/>
    </sheetView>
  </sheetViews>
  <sheetFormatPr defaultRowHeight="12.75" x14ac:dyDescent="0.2"/>
  <cols>
    <col min="1" max="1" width="3" style="1" customWidth="1"/>
    <col min="2" max="2" width="58" style="1" customWidth="1"/>
    <col min="3" max="3" width="16.5703125" style="1" customWidth="1"/>
    <col min="4" max="4" width="19.42578125" style="1" customWidth="1"/>
    <col min="5" max="5" width="12.85546875" style="2" customWidth="1"/>
    <col min="6" max="6" width="11.5703125" style="2" customWidth="1"/>
    <col min="7" max="7" width="11" style="2" customWidth="1"/>
    <col min="8" max="8" width="10.140625" style="2" customWidth="1"/>
    <col min="9" max="9" width="10.42578125" style="2" customWidth="1"/>
    <col min="10" max="10" width="11.42578125" style="2" customWidth="1"/>
    <col min="11" max="11" width="13.5703125" style="2" customWidth="1"/>
    <col min="12" max="12" width="7.85546875" style="3" customWidth="1"/>
    <col min="13" max="13" width="12.140625" style="3" customWidth="1"/>
    <col min="14" max="14" width="9.140625" style="4" customWidth="1"/>
    <col min="15" max="15" width="33.85546875" style="5" bestFit="1" customWidth="1"/>
    <col min="16" max="17" width="33.85546875" style="4" bestFit="1" customWidth="1"/>
    <col min="18" max="21" width="9.140625" style="4" customWidth="1"/>
    <col min="22" max="25" width="9.140625" style="1" customWidth="1"/>
    <col min="26" max="16384" width="9.140625" style="1"/>
  </cols>
  <sheetData>
    <row r="1" spans="1:18" x14ac:dyDescent="0.2">
      <c r="A1" s="6"/>
      <c r="B1" s="535" t="s">
        <v>0</v>
      </c>
      <c r="C1" s="535"/>
      <c r="D1" s="535"/>
      <c r="E1" s="535"/>
      <c r="F1" s="535"/>
      <c r="G1" s="535"/>
      <c r="H1" s="535"/>
      <c r="I1" s="7"/>
      <c r="J1" s="7"/>
      <c r="K1" s="7"/>
      <c r="L1" s="6"/>
      <c r="M1" s="6"/>
    </row>
    <row r="2" spans="1:18" ht="3" customHeight="1" thickBot="1" x14ac:dyDescent="0.25">
      <c r="A2" s="6"/>
      <c r="B2" s="535"/>
      <c r="C2" s="535"/>
      <c r="D2" s="535"/>
      <c r="E2" s="535"/>
      <c r="F2" s="535"/>
      <c r="G2" s="535"/>
      <c r="H2" s="535"/>
      <c r="I2" s="9"/>
      <c r="J2" s="9"/>
      <c r="K2" s="9"/>
      <c r="L2" s="8"/>
      <c r="M2" s="6"/>
    </row>
    <row r="3" spans="1:18" ht="16.5" thickTop="1" thickBot="1" x14ac:dyDescent="0.25">
      <c r="A3" s="6"/>
      <c r="B3" s="535"/>
      <c r="C3" s="535"/>
      <c r="D3" s="535"/>
      <c r="E3" s="535"/>
      <c r="F3" s="535"/>
      <c r="G3" s="535"/>
      <c r="H3" s="535"/>
      <c r="I3" s="532" t="s">
        <v>1</v>
      </c>
      <c r="J3" s="533"/>
      <c r="K3" s="533"/>
      <c r="L3" s="534"/>
      <c r="M3" s="397"/>
      <c r="O3" s="2" t="s">
        <v>2</v>
      </c>
      <c r="P3" s="1" t="s">
        <v>3</v>
      </c>
    </row>
    <row r="4" spans="1:18" ht="36.75" customHeight="1" thickTop="1" x14ac:dyDescent="0.2">
      <c r="A4" s="6"/>
      <c r="B4" s="530" t="s">
        <v>378</v>
      </c>
      <c r="C4" s="531"/>
      <c r="D4" s="531"/>
      <c r="E4" s="531"/>
      <c r="F4" s="531"/>
      <c r="G4" s="531"/>
      <c r="H4" s="531"/>
      <c r="I4" s="531"/>
      <c r="J4" s="531"/>
      <c r="K4" s="531"/>
      <c r="L4" s="531"/>
      <c r="M4" s="6"/>
      <c r="O4" s="10">
        <f ca="1">TODAY()</f>
        <v>43209</v>
      </c>
      <c r="P4" s="11">
        <v>43465</v>
      </c>
      <c r="Q4" s="4">
        <f ca="1">IF(O4&gt;P4,0,1)</f>
        <v>1</v>
      </c>
    </row>
    <row r="5" spans="1:18" ht="3" customHeight="1" x14ac:dyDescent="0.2">
      <c r="A5" s="6"/>
      <c r="B5" s="8"/>
      <c r="C5" s="8"/>
      <c r="D5" s="8"/>
      <c r="E5" s="8"/>
      <c r="F5" s="9"/>
      <c r="G5" s="9"/>
      <c r="H5" s="9"/>
      <c r="I5" s="9"/>
      <c r="J5" s="9"/>
      <c r="K5" s="9"/>
      <c r="L5" s="8"/>
      <c r="M5" s="6"/>
    </row>
    <row r="6" spans="1:18" ht="3" customHeight="1" x14ac:dyDescent="0.2">
      <c r="A6" s="6"/>
      <c r="B6" s="6"/>
      <c r="C6" s="6"/>
      <c r="D6" s="6"/>
      <c r="E6" s="6"/>
      <c r="F6" s="454"/>
      <c r="G6" s="454"/>
      <c r="H6" s="454"/>
      <c r="I6" s="454"/>
      <c r="J6" s="454"/>
      <c r="K6" s="454"/>
      <c r="L6" s="6"/>
      <c r="M6" s="6"/>
    </row>
    <row r="7" spans="1:18" ht="27" x14ac:dyDescent="0.2">
      <c r="A7" s="6"/>
      <c r="B7" s="537" t="str">
        <f ca="1">IF(Q4=0,"Esta planilha só é válida para 2015","")</f>
        <v/>
      </c>
      <c r="C7" s="453"/>
      <c r="D7" s="453"/>
      <c r="E7" s="6"/>
      <c r="F7" s="528" t="s">
        <v>4</v>
      </c>
      <c r="G7" s="528"/>
      <c r="H7" s="529"/>
      <c r="I7" s="529"/>
      <c r="J7" s="529"/>
      <c r="K7" s="529"/>
      <c r="L7" s="6"/>
      <c r="M7" s="6"/>
    </row>
    <row r="8" spans="1:18" ht="6.75" customHeight="1" x14ac:dyDescent="0.2">
      <c r="A8" s="6"/>
      <c r="B8" s="537"/>
      <c r="C8" s="453"/>
      <c r="D8" s="453"/>
      <c r="E8" s="6"/>
      <c r="F8" s="454"/>
      <c r="G8" s="12"/>
      <c r="H8" s="454"/>
      <c r="I8" s="454"/>
      <c r="J8" s="454"/>
      <c r="K8" s="454"/>
      <c r="L8" s="6"/>
      <c r="M8" s="6"/>
    </row>
    <row r="9" spans="1:18" ht="27" x14ac:dyDescent="0.2">
      <c r="A9" s="6"/>
      <c r="B9" s="537"/>
      <c r="C9" s="453"/>
      <c r="D9" s="453"/>
      <c r="E9" s="528" t="s">
        <v>5</v>
      </c>
      <c r="F9" s="528"/>
      <c r="G9" s="528"/>
      <c r="H9" s="529"/>
      <c r="I9" s="529"/>
      <c r="J9" s="529"/>
      <c r="K9" s="529"/>
      <c r="L9" s="6"/>
      <c r="M9" s="6"/>
    </row>
    <row r="10" spans="1:18" ht="6.75" customHeight="1" x14ac:dyDescent="0.2">
      <c r="A10" s="6"/>
      <c r="B10" s="537"/>
      <c r="C10" s="453"/>
      <c r="D10" s="453"/>
      <c r="E10" s="6"/>
      <c r="F10" s="454"/>
      <c r="G10" s="12"/>
      <c r="H10" s="454"/>
      <c r="I10" s="454"/>
      <c r="J10" s="454"/>
      <c r="K10" s="454"/>
      <c r="L10" s="6"/>
      <c r="M10" s="6"/>
    </row>
    <row r="11" spans="1:18" ht="27" x14ac:dyDescent="0.2">
      <c r="A11" s="6"/>
      <c r="B11" s="537"/>
      <c r="C11" s="453"/>
      <c r="D11" s="453"/>
      <c r="E11" s="6"/>
      <c r="F11" s="528" t="s">
        <v>6</v>
      </c>
      <c r="G11" s="528"/>
      <c r="H11" s="529"/>
      <c r="I11" s="529"/>
      <c r="J11" s="529"/>
      <c r="K11" s="529"/>
      <c r="L11" s="6"/>
      <c r="M11" s="6"/>
    </row>
    <row r="12" spans="1:18" ht="7.5" customHeight="1" thickBot="1" x14ac:dyDescent="0.25">
      <c r="A12" s="6"/>
      <c r="B12" s="6"/>
      <c r="C12" s="6"/>
      <c r="D12" s="6"/>
      <c r="E12" s="6"/>
      <c r="F12" s="454"/>
      <c r="G12" s="12"/>
      <c r="H12" s="454"/>
      <c r="I12" s="454"/>
      <c r="J12" s="454"/>
      <c r="K12" s="454"/>
      <c r="L12" s="6"/>
      <c r="M12" s="6"/>
    </row>
    <row r="13" spans="1:18" ht="13.5" thickBot="1" x14ac:dyDescent="0.25">
      <c r="A13" s="6"/>
      <c r="B13" s="13" t="s">
        <v>7</v>
      </c>
      <c r="C13" s="278"/>
      <c r="D13" s="278"/>
      <c r="E13" s="7"/>
      <c r="F13" s="7"/>
      <c r="G13" s="7"/>
      <c r="H13" s="7"/>
      <c r="I13" s="7"/>
      <c r="J13" s="7"/>
      <c r="K13" s="7"/>
      <c r="L13" s="6"/>
      <c r="M13" s="6"/>
      <c r="P13" s="14"/>
      <c r="Q13" s="14"/>
      <c r="R13" s="14"/>
    </row>
    <row r="14" spans="1:18" x14ac:dyDescent="0.2">
      <c r="A14" s="6"/>
      <c r="B14" s="15" t="s">
        <v>8</v>
      </c>
      <c r="C14" s="279"/>
      <c r="D14" s="279"/>
      <c r="E14" s="16"/>
      <c r="F14" s="17">
        <f ca="1">IF(Q4=0,"Bloqueado",IF(O14=2,"ERRO",IF(E14&gt;3,"ERRO",IF(E14="",0,E14*289.82))))</f>
        <v>0</v>
      </c>
      <c r="G14" s="512" t="str">
        <f>IF(O14=2,"Escolher se o procedimento é Sumário ou Ordinário",IF(E14&gt;3,"O número de atos não pode ser superior a 3",""))</f>
        <v/>
      </c>
      <c r="H14" s="512"/>
      <c r="I14" s="512"/>
      <c r="J14" s="512"/>
      <c r="K14" s="512"/>
      <c r="L14" s="452"/>
      <c r="M14" s="452"/>
    </row>
    <row r="15" spans="1:18" ht="6.75" customHeight="1" x14ac:dyDescent="0.2">
      <c r="A15" s="6"/>
      <c r="B15" s="18"/>
      <c r="C15" s="50"/>
      <c r="D15" s="50"/>
      <c r="E15" s="7"/>
      <c r="F15" s="19"/>
      <c r="G15" s="452"/>
      <c r="H15" s="452"/>
      <c r="I15" s="452"/>
      <c r="J15" s="452"/>
      <c r="K15" s="452"/>
      <c r="L15" s="452"/>
      <c r="M15" s="452"/>
    </row>
    <row r="16" spans="1:18" x14ac:dyDescent="0.2">
      <c r="A16" s="6"/>
      <c r="B16" s="325" t="s">
        <v>9</v>
      </c>
      <c r="C16" s="50"/>
      <c r="D16" s="50"/>
      <c r="E16" s="20"/>
      <c r="F16" s="21">
        <f ca="1">IF(Q4=0,"Bloqueado",IF(O14=2,"ERRO",IF(E16&gt;3,"ERRO",IF(E16="",0,E16*181.14))))</f>
        <v>0</v>
      </c>
      <c r="G16" s="512" t="str">
        <f>IF(O14=2,"Escolher se o procedimento é Sumário ou Ordinário",IF(E16&gt;3,"O número de atos não pode ser superior a 3",""))</f>
        <v/>
      </c>
      <c r="H16" s="512"/>
      <c r="I16" s="512"/>
      <c r="J16" s="512"/>
      <c r="K16" s="512"/>
      <c r="L16" s="512"/>
      <c r="M16" s="512"/>
    </row>
    <row r="17" spans="1:13" ht="6.75" customHeight="1" x14ac:dyDescent="0.2">
      <c r="A17" s="6"/>
      <c r="B17" s="18"/>
      <c r="C17" s="50"/>
      <c r="D17" s="50"/>
      <c r="E17" s="7"/>
      <c r="F17" s="21"/>
      <c r="G17" s="452"/>
      <c r="H17" s="452"/>
      <c r="I17" s="452"/>
      <c r="J17" s="452"/>
      <c r="K17" s="452"/>
      <c r="L17" s="452"/>
      <c r="M17" s="452"/>
    </row>
    <row r="18" spans="1:13" x14ac:dyDescent="0.2">
      <c r="A18" s="6"/>
      <c r="B18" s="325" t="s">
        <v>10</v>
      </c>
      <c r="C18" s="50"/>
      <c r="D18" s="50"/>
      <c r="E18" s="461"/>
      <c r="F18" s="21"/>
      <c r="G18" s="452" t="str">
        <f>IF(E18=0,"","2% do valor das cotas do sócio dissidente -requerente da dissolução")</f>
        <v/>
      </c>
      <c r="H18" s="452"/>
      <c r="I18" s="452"/>
      <c r="J18" s="452"/>
      <c r="K18" s="452"/>
      <c r="L18" s="452"/>
      <c r="M18" s="452"/>
    </row>
    <row r="19" spans="1:13" ht="6.75" customHeight="1" x14ac:dyDescent="0.2">
      <c r="A19" s="6"/>
      <c r="B19" s="22"/>
      <c r="C19" s="131"/>
      <c r="D19" s="131"/>
      <c r="E19" s="7"/>
      <c r="F19" s="21"/>
      <c r="G19" s="452"/>
      <c r="H19" s="452"/>
      <c r="I19" s="452"/>
      <c r="J19" s="452"/>
      <c r="K19" s="452"/>
      <c r="L19" s="452"/>
      <c r="M19" s="452"/>
    </row>
    <row r="20" spans="1:13" ht="51.75" x14ac:dyDescent="0.25">
      <c r="A20" s="6"/>
      <c r="B20" s="329" t="s">
        <v>377</v>
      </c>
      <c r="C20" s="280"/>
      <c r="D20" s="280"/>
      <c r="E20" s="348"/>
      <c r="F20" s="349">
        <f ca="1">IF(Q4=0,"Bloqueado",IF(E20="",0,220.61*E20))</f>
        <v>0</v>
      </c>
      <c r="G20" s="452"/>
      <c r="H20" s="452"/>
      <c r="I20" s="452"/>
      <c r="J20" s="452"/>
      <c r="K20" s="394"/>
      <c r="L20" s="452"/>
      <c r="M20" s="452"/>
    </row>
    <row r="21" spans="1:13" ht="6.75" customHeight="1" x14ac:dyDescent="0.2">
      <c r="A21" s="6"/>
      <c r="B21" s="22"/>
      <c r="C21" s="131"/>
      <c r="D21" s="131"/>
      <c r="E21" s="7"/>
      <c r="F21" s="21"/>
      <c r="G21" s="452"/>
      <c r="H21" s="452"/>
      <c r="I21" s="452"/>
      <c r="J21" s="452"/>
      <c r="K21" s="452"/>
      <c r="L21" s="452"/>
      <c r="M21" s="452"/>
    </row>
    <row r="22" spans="1:13" x14ac:dyDescent="0.2">
      <c r="A22" s="6"/>
      <c r="B22" s="22" t="s">
        <v>11</v>
      </c>
      <c r="C22" s="131"/>
      <c r="D22" s="131"/>
      <c r="E22" s="20"/>
      <c r="F22" s="21">
        <f ca="1">IF(Q4=0,"Bloqueado",IF(E22="",0,79.01*E22))</f>
        <v>0</v>
      </c>
      <c r="G22" s="452"/>
      <c r="H22" s="452"/>
      <c r="I22" s="452"/>
      <c r="J22" s="452"/>
      <c r="K22" s="452"/>
      <c r="L22" s="452"/>
      <c r="M22" s="452"/>
    </row>
    <row r="23" spans="1:13" ht="6.75" customHeight="1" x14ac:dyDescent="0.2">
      <c r="A23" s="6"/>
      <c r="B23" s="22"/>
      <c r="C23" s="131"/>
      <c r="D23" s="131"/>
      <c r="E23" s="7"/>
      <c r="F23" s="21"/>
      <c r="G23" s="452"/>
      <c r="H23" s="452"/>
      <c r="I23" s="452"/>
      <c r="J23" s="452"/>
      <c r="K23" s="452"/>
      <c r="L23" s="452"/>
      <c r="M23" s="452"/>
    </row>
    <row r="24" spans="1:13" ht="39" customHeight="1" x14ac:dyDescent="0.2">
      <c r="A24" s="6"/>
      <c r="B24" s="328" t="s">
        <v>12</v>
      </c>
      <c r="C24" s="131"/>
      <c r="D24" s="131"/>
      <c r="E24" s="7"/>
      <c r="F24" s="21"/>
      <c r="G24" s="452"/>
      <c r="H24" s="452"/>
      <c r="I24" s="452"/>
      <c r="J24" s="452"/>
      <c r="K24" s="452"/>
      <c r="L24" s="452"/>
      <c r="M24" s="452"/>
    </row>
    <row r="25" spans="1:13" ht="8.25" customHeight="1" x14ac:dyDescent="0.2">
      <c r="A25" s="6"/>
      <c r="B25" s="328"/>
      <c r="C25" s="131"/>
      <c r="D25" s="131"/>
      <c r="E25" s="7"/>
      <c r="F25" s="21"/>
      <c r="G25" s="452"/>
      <c r="H25" s="452"/>
      <c r="I25" s="452"/>
      <c r="J25" s="452"/>
      <c r="K25" s="452"/>
      <c r="L25" s="452"/>
      <c r="M25" s="452"/>
    </row>
    <row r="26" spans="1:13" x14ac:dyDescent="0.2">
      <c r="A26" s="6"/>
      <c r="B26" s="351" t="s">
        <v>13</v>
      </c>
      <c r="C26" s="526"/>
      <c r="D26" s="526"/>
      <c r="E26" s="348"/>
      <c r="F26" s="21">
        <f ca="1">IF(Q4=0,"Bloqueado",IF(E26="",0,596.15*E26))</f>
        <v>0</v>
      </c>
      <c r="G26" s="512"/>
      <c r="H26" s="512"/>
      <c r="I26" s="512"/>
      <c r="J26" s="512"/>
      <c r="K26" s="512"/>
      <c r="L26" s="512"/>
      <c r="M26" s="452"/>
    </row>
    <row r="27" spans="1:13" ht="7.5" customHeight="1" x14ac:dyDescent="0.2">
      <c r="A27" s="6"/>
      <c r="B27" s="328"/>
      <c r="C27" s="450"/>
      <c r="D27" s="450"/>
      <c r="E27" s="462"/>
      <c r="F27" s="21"/>
      <c r="G27" s="452"/>
      <c r="H27" s="452"/>
      <c r="I27" s="452"/>
      <c r="J27" s="452"/>
      <c r="K27" s="452"/>
      <c r="L27" s="452"/>
      <c r="M27" s="452"/>
    </row>
    <row r="28" spans="1:13" ht="15" customHeight="1" x14ac:dyDescent="0.2">
      <c r="A28" s="343"/>
      <c r="B28" s="327" t="s">
        <v>14</v>
      </c>
      <c r="C28" s="450"/>
      <c r="D28" s="450"/>
      <c r="E28" s="462"/>
      <c r="F28" s="21"/>
      <c r="G28" s="452"/>
      <c r="H28" s="452"/>
      <c r="I28" s="452"/>
      <c r="J28" s="452"/>
      <c r="K28" s="452"/>
      <c r="L28" s="452"/>
      <c r="M28" s="452"/>
    </row>
    <row r="29" spans="1:13" ht="7.5" customHeight="1" x14ac:dyDescent="0.2">
      <c r="A29" s="343"/>
      <c r="B29" s="327"/>
      <c r="C29" s="450"/>
      <c r="D29" s="450"/>
      <c r="E29" s="462"/>
      <c r="F29" s="21"/>
      <c r="G29" s="452"/>
      <c r="H29" s="452"/>
      <c r="I29" s="452"/>
      <c r="J29" s="452"/>
      <c r="K29" s="452"/>
      <c r="L29" s="452"/>
      <c r="M29" s="452"/>
    </row>
    <row r="30" spans="1:13" ht="102" x14ac:dyDescent="0.2">
      <c r="A30" s="343"/>
      <c r="B30" s="352"/>
      <c r="C30" s="327"/>
      <c r="D30" s="353" t="s">
        <v>15</v>
      </c>
      <c r="E30" s="348"/>
      <c r="F30" s="349">
        <f ca="1">IF(Q4=0,"Bloqueado",IF(E30="",0,596.15*E30))</f>
        <v>0</v>
      </c>
      <c r="G30" s="452"/>
      <c r="H30" s="452"/>
      <c r="I30" s="452"/>
      <c r="J30" s="452"/>
      <c r="K30" s="452"/>
      <c r="L30" s="452"/>
      <c r="M30" s="452"/>
    </row>
    <row r="31" spans="1:13" ht="9.75" customHeight="1" x14ac:dyDescent="0.2">
      <c r="A31" s="6"/>
      <c r="B31" s="33"/>
      <c r="C31" s="326"/>
      <c r="D31" s="327"/>
      <c r="E31" s="462"/>
      <c r="F31" s="21"/>
      <c r="G31" s="452"/>
      <c r="H31" s="452"/>
      <c r="I31" s="452"/>
      <c r="J31" s="452"/>
      <c r="K31" s="452"/>
      <c r="L31" s="452"/>
      <c r="M31" s="452"/>
    </row>
    <row r="32" spans="1:13" ht="114" customHeight="1" x14ac:dyDescent="0.2">
      <c r="A32" s="343"/>
      <c r="B32" s="280"/>
      <c r="C32" s="326"/>
      <c r="D32" s="463" t="s">
        <v>16</v>
      </c>
      <c r="E32" s="348"/>
      <c r="F32" s="349">
        <f ca="1">IF(Q4=0,"Bloqueado",IF(E32="",0,1182.49*E32))</f>
        <v>0</v>
      </c>
      <c r="G32" s="452"/>
      <c r="H32" s="452"/>
      <c r="I32" s="452"/>
      <c r="J32" s="452"/>
      <c r="K32" s="452"/>
      <c r="L32" s="452"/>
      <c r="M32" s="452"/>
    </row>
    <row r="33" spans="1:13" ht="7.5" customHeight="1" x14ac:dyDescent="0.2">
      <c r="A33" s="343"/>
      <c r="B33" s="280"/>
      <c r="C33" s="326"/>
      <c r="D33" s="464"/>
      <c r="E33" s="462"/>
      <c r="F33" s="21"/>
      <c r="G33" s="452"/>
      <c r="H33" s="452"/>
      <c r="I33" s="452"/>
      <c r="J33" s="452"/>
      <c r="K33" s="452"/>
      <c r="L33" s="452"/>
      <c r="M33" s="452"/>
    </row>
    <row r="34" spans="1:13" ht="12.75" customHeight="1" x14ac:dyDescent="0.2">
      <c r="A34" s="343"/>
      <c r="B34" s="465" t="s">
        <v>17</v>
      </c>
      <c r="C34" s="527"/>
      <c r="D34" s="526"/>
      <c r="E34" s="348"/>
      <c r="F34" s="349">
        <f ca="1">IF(Q4=0,"Bloqueado",IF(E34="",0,2358.32*E34))</f>
        <v>0</v>
      </c>
      <c r="G34" s="452"/>
      <c r="H34" s="452"/>
      <c r="I34" s="452"/>
      <c r="J34" s="452"/>
      <c r="K34" s="452"/>
      <c r="L34" s="452"/>
      <c r="M34" s="452"/>
    </row>
    <row r="35" spans="1:13" x14ac:dyDescent="0.2">
      <c r="A35" s="343"/>
      <c r="B35" s="280"/>
      <c r="C35" s="449"/>
      <c r="D35" s="450"/>
      <c r="E35" s="462"/>
      <c r="F35" s="21"/>
      <c r="G35" s="452"/>
      <c r="H35" s="452"/>
      <c r="I35" s="452"/>
      <c r="J35" s="452"/>
      <c r="K35" s="452"/>
      <c r="L35" s="452"/>
      <c r="M35" s="452"/>
    </row>
    <row r="36" spans="1:13" x14ac:dyDescent="0.2">
      <c r="A36" s="343"/>
      <c r="B36" s="465" t="s">
        <v>18</v>
      </c>
      <c r="C36" s="527"/>
      <c r="D36" s="527"/>
      <c r="E36" s="20"/>
      <c r="F36" s="349">
        <f ca="1">IF(Q4=0,"Bloqueado",IF(E36="",0,85.59*E36))</f>
        <v>0</v>
      </c>
      <c r="G36" s="452"/>
      <c r="H36" s="452"/>
      <c r="I36" s="452"/>
      <c r="J36" s="452"/>
      <c r="K36" s="452"/>
      <c r="L36" s="452"/>
      <c r="M36" s="452"/>
    </row>
    <row r="37" spans="1:13" x14ac:dyDescent="0.2">
      <c r="A37" s="343"/>
      <c r="B37" s="354"/>
      <c r="C37" s="449"/>
      <c r="D37" s="449"/>
      <c r="E37" s="462"/>
      <c r="F37" s="21"/>
      <c r="G37" s="452"/>
      <c r="H37" s="452"/>
      <c r="I37" s="452"/>
      <c r="J37" s="452"/>
      <c r="K37" s="452"/>
      <c r="L37" s="452"/>
      <c r="M37" s="452"/>
    </row>
    <row r="38" spans="1:13" x14ac:dyDescent="0.2">
      <c r="A38" s="343"/>
      <c r="B38" s="465" t="s">
        <v>19</v>
      </c>
      <c r="C38" s="527"/>
      <c r="D38" s="527"/>
      <c r="E38" s="20"/>
      <c r="F38" s="349">
        <f ca="1">IF(Q4=0,"Bloqueado",IF(E38="",0,154.79*E38))</f>
        <v>0</v>
      </c>
      <c r="G38" s="452"/>
      <c r="H38" s="452"/>
      <c r="I38" s="452"/>
      <c r="J38" s="452"/>
      <c r="K38" s="452"/>
      <c r="L38" s="452"/>
      <c r="M38" s="452"/>
    </row>
    <row r="39" spans="1:13" x14ac:dyDescent="0.2">
      <c r="A39" s="343"/>
      <c r="B39" s="354"/>
      <c r="C39" s="449"/>
      <c r="D39" s="449"/>
      <c r="E39" s="462"/>
      <c r="F39" s="21"/>
      <c r="G39" s="452"/>
      <c r="H39" s="452"/>
      <c r="I39" s="452"/>
      <c r="J39" s="452"/>
      <c r="K39" s="452"/>
      <c r="L39" s="452"/>
      <c r="M39" s="452"/>
    </row>
    <row r="40" spans="1:13" x14ac:dyDescent="0.2">
      <c r="A40" s="343"/>
      <c r="B40" s="465" t="s">
        <v>20</v>
      </c>
      <c r="C40" s="527"/>
      <c r="D40" s="527"/>
      <c r="E40" s="20"/>
      <c r="F40" s="349">
        <f ca="1">IF(Q4=0,"Bloqueado",IF(E40="",0,220.61*E40))</f>
        <v>0</v>
      </c>
      <c r="G40" s="452"/>
      <c r="H40" s="452"/>
      <c r="I40" s="452"/>
      <c r="J40" s="452"/>
      <c r="K40" s="452"/>
      <c r="L40" s="452"/>
      <c r="M40" s="452"/>
    </row>
    <row r="41" spans="1:13" ht="6.75" customHeight="1" x14ac:dyDescent="0.2">
      <c r="A41" s="6"/>
      <c r="B41" s="22"/>
      <c r="C41" s="131"/>
      <c r="D41" s="131"/>
      <c r="E41" s="7"/>
      <c r="F41" s="21"/>
      <c r="G41" s="452"/>
      <c r="H41" s="452"/>
      <c r="I41" s="452"/>
      <c r="J41" s="452"/>
      <c r="K41" s="452"/>
      <c r="L41" s="452"/>
      <c r="M41" s="452"/>
    </row>
    <row r="42" spans="1:13" ht="6.75" customHeight="1" x14ac:dyDescent="0.2">
      <c r="A42" s="6"/>
      <c r="B42" s="22"/>
      <c r="C42" s="131"/>
      <c r="D42" s="131"/>
      <c r="E42" s="7"/>
      <c r="F42" s="21"/>
      <c r="G42" s="452"/>
      <c r="H42" s="452"/>
      <c r="I42" s="452"/>
      <c r="J42" s="452"/>
      <c r="K42" s="452"/>
      <c r="L42" s="452"/>
      <c r="M42" s="452"/>
    </row>
    <row r="43" spans="1:13" ht="12.75" customHeight="1" x14ac:dyDescent="0.2">
      <c r="A43" s="6"/>
      <c r="B43" s="18" t="s">
        <v>21</v>
      </c>
      <c r="C43" s="131"/>
      <c r="D43" s="131"/>
      <c r="E43" s="7"/>
      <c r="F43" s="21"/>
      <c r="G43" s="452"/>
      <c r="H43" s="452"/>
      <c r="I43" s="452"/>
      <c r="J43" s="452"/>
      <c r="K43" s="452"/>
      <c r="L43" s="452"/>
      <c r="M43" s="452"/>
    </row>
    <row r="44" spans="1:13" ht="7.5" customHeight="1" x14ac:dyDescent="0.2">
      <c r="A44" s="6"/>
      <c r="B44" s="18"/>
      <c r="C44" s="131"/>
      <c r="D44" s="131"/>
      <c r="E44" s="7"/>
      <c r="F44" s="21"/>
      <c r="G44" s="452"/>
      <c r="H44" s="452"/>
      <c r="I44" s="452"/>
      <c r="J44" s="452"/>
      <c r="K44" s="452"/>
      <c r="L44" s="452"/>
      <c r="M44" s="452"/>
    </row>
    <row r="45" spans="1:13" x14ac:dyDescent="0.2">
      <c r="A45" s="6"/>
      <c r="B45" s="466" t="s">
        <v>22</v>
      </c>
      <c r="C45" s="467"/>
      <c r="D45" s="467"/>
      <c r="E45" s="20"/>
      <c r="F45" s="21">
        <f ca="1">IF(Q4=0,"Bloqueado",IF(E45="",0,154.79*E45))</f>
        <v>0</v>
      </c>
      <c r="G45" s="452"/>
      <c r="H45" s="452"/>
      <c r="I45" s="452"/>
      <c r="J45" s="452"/>
      <c r="K45" s="452"/>
      <c r="L45" s="452"/>
      <c r="M45" s="452"/>
    </row>
    <row r="46" spans="1:13" ht="6.75" customHeight="1" x14ac:dyDescent="0.2">
      <c r="A46" s="6"/>
      <c r="B46" s="18"/>
      <c r="C46" s="468"/>
      <c r="D46" s="468"/>
      <c r="E46" s="462"/>
      <c r="F46" s="21"/>
      <c r="G46" s="452"/>
      <c r="H46" s="452"/>
      <c r="I46" s="452"/>
      <c r="J46" s="452"/>
      <c r="K46" s="452"/>
      <c r="L46" s="452"/>
      <c r="M46" s="452"/>
    </row>
    <row r="47" spans="1:13" x14ac:dyDescent="0.2">
      <c r="A47" s="6"/>
      <c r="B47" s="515" t="s">
        <v>23</v>
      </c>
      <c r="C47" s="516"/>
      <c r="D47" s="516"/>
      <c r="E47" s="20"/>
      <c r="F47" s="349">
        <f ca="1">IF(Q4=0,"Bloqueado",IF(E47="",0,85.59*E47))</f>
        <v>0</v>
      </c>
      <c r="G47" s="452"/>
      <c r="H47" s="452"/>
      <c r="I47" s="452"/>
      <c r="J47" s="452"/>
      <c r="K47" s="452"/>
      <c r="L47" s="452"/>
      <c r="M47" s="452"/>
    </row>
    <row r="48" spans="1:13" ht="9" customHeight="1" x14ac:dyDescent="0.2">
      <c r="A48" s="6"/>
      <c r="B48" s="18"/>
      <c r="C48" s="468"/>
      <c r="D48" s="468"/>
      <c r="E48" s="462"/>
      <c r="F48" s="21"/>
      <c r="G48" s="452"/>
      <c r="H48" s="452"/>
      <c r="I48" s="452"/>
      <c r="J48" s="452"/>
      <c r="K48" s="452"/>
      <c r="L48" s="452"/>
      <c r="M48" s="452"/>
    </row>
    <row r="49" spans="1:13" x14ac:dyDescent="0.2">
      <c r="A49" s="6"/>
      <c r="B49" s="515" t="s">
        <v>24</v>
      </c>
      <c r="C49" s="516"/>
      <c r="D49" s="516"/>
      <c r="E49" s="20"/>
      <c r="F49" s="349">
        <f ca="1">IF(Q4=0,"Bloqueado",IF(E49="",0,289.82*E49))</f>
        <v>0</v>
      </c>
      <c r="G49" s="452"/>
      <c r="H49" s="452"/>
      <c r="I49" s="452"/>
      <c r="J49" s="452"/>
      <c r="K49" s="452"/>
      <c r="L49" s="452"/>
      <c r="M49" s="452"/>
    </row>
    <row r="50" spans="1:13" ht="6.75" customHeight="1" x14ac:dyDescent="0.2">
      <c r="A50" s="6"/>
      <c r="B50" s="18"/>
      <c r="C50" s="468"/>
      <c r="D50" s="468"/>
      <c r="E50" s="462"/>
      <c r="F50" s="21"/>
      <c r="G50" s="452"/>
      <c r="H50" s="452"/>
      <c r="I50" s="452"/>
      <c r="J50" s="452"/>
      <c r="K50" s="452"/>
      <c r="L50" s="452"/>
      <c r="M50" s="452"/>
    </row>
    <row r="51" spans="1:13" x14ac:dyDescent="0.2">
      <c r="A51" s="6"/>
      <c r="B51" s="515" t="s">
        <v>25</v>
      </c>
      <c r="C51" s="516"/>
      <c r="D51" s="516"/>
      <c r="E51" s="20"/>
      <c r="F51" s="349">
        <f ca="1">IF(Q4=0,"Bloqueado",IF(E51="",0,154.79*E51))</f>
        <v>0</v>
      </c>
      <c r="G51" s="452"/>
      <c r="H51" s="452"/>
      <c r="I51" s="452"/>
      <c r="J51" s="452"/>
      <c r="K51" s="452"/>
      <c r="L51" s="452"/>
      <c r="M51" s="452"/>
    </row>
    <row r="52" spans="1:13" x14ac:dyDescent="0.2">
      <c r="A52" s="6"/>
      <c r="B52" s="18"/>
      <c r="C52" s="468"/>
      <c r="D52" s="468"/>
      <c r="E52" s="462"/>
      <c r="F52" s="21"/>
      <c r="G52" s="452"/>
      <c r="H52" s="452"/>
      <c r="I52" s="452"/>
      <c r="J52" s="452"/>
      <c r="K52" s="452"/>
      <c r="L52" s="452"/>
      <c r="M52" s="452"/>
    </row>
    <row r="53" spans="1:13" x14ac:dyDescent="0.2">
      <c r="A53" s="6"/>
      <c r="B53" s="18" t="s">
        <v>26</v>
      </c>
      <c r="C53" s="468"/>
      <c r="D53" s="468"/>
      <c r="E53" s="462"/>
      <c r="F53" s="21"/>
      <c r="G53" s="452"/>
      <c r="H53" s="452"/>
      <c r="I53" s="452"/>
      <c r="J53" s="452"/>
      <c r="K53" s="452"/>
      <c r="L53" s="452"/>
      <c r="M53" s="452"/>
    </row>
    <row r="54" spans="1:13" ht="6" customHeight="1" x14ac:dyDescent="0.2">
      <c r="A54" s="6"/>
      <c r="B54" s="18"/>
      <c r="C54" s="468"/>
      <c r="D54" s="468"/>
      <c r="E54" s="462"/>
      <c r="F54" s="21"/>
      <c r="G54" s="452"/>
      <c r="H54" s="452"/>
      <c r="I54" s="452"/>
      <c r="J54" s="452"/>
      <c r="K54" s="452"/>
      <c r="L54" s="452"/>
      <c r="M54" s="452"/>
    </row>
    <row r="55" spans="1:13" x14ac:dyDescent="0.2">
      <c r="A55" s="343"/>
      <c r="B55" s="131" t="s">
        <v>27</v>
      </c>
      <c r="C55" s="468"/>
      <c r="D55" s="468"/>
      <c r="E55" s="462"/>
      <c r="F55" s="349"/>
      <c r="G55" s="452"/>
      <c r="H55" s="452"/>
      <c r="I55" s="452"/>
      <c r="J55" s="452"/>
      <c r="K55" s="452"/>
      <c r="L55" s="452"/>
      <c r="M55" s="452"/>
    </row>
    <row r="56" spans="1:13" ht="6.75" customHeight="1" x14ac:dyDescent="0.2">
      <c r="A56" s="343"/>
      <c r="B56" s="50"/>
      <c r="C56" s="468"/>
      <c r="D56" s="468"/>
      <c r="E56" s="462"/>
      <c r="F56" s="349"/>
      <c r="G56" s="452"/>
      <c r="H56" s="452"/>
      <c r="I56" s="452"/>
      <c r="J56" s="452"/>
      <c r="K56" s="452"/>
      <c r="L56" s="452"/>
      <c r="M56" s="452"/>
    </row>
    <row r="57" spans="1:13" x14ac:dyDescent="0.2">
      <c r="A57" s="343"/>
      <c r="B57" s="469" t="s">
        <v>28</v>
      </c>
      <c r="C57" s="468"/>
      <c r="D57" s="468"/>
      <c r="E57" s="20"/>
      <c r="F57" s="349">
        <f ca="1">IF(Q4=0,"Bloqueado",IF(E57="",0,85.59*E57))</f>
        <v>0</v>
      </c>
      <c r="G57" s="452"/>
      <c r="H57" s="452"/>
      <c r="I57" s="452"/>
      <c r="J57" s="452"/>
      <c r="K57" s="452"/>
      <c r="L57" s="452"/>
      <c r="M57" s="452"/>
    </row>
    <row r="58" spans="1:13" ht="5.25" customHeight="1" x14ac:dyDescent="0.2">
      <c r="A58" s="343"/>
      <c r="B58" s="50"/>
      <c r="C58" s="468"/>
      <c r="D58" s="468"/>
      <c r="E58" s="462"/>
      <c r="F58" s="21"/>
      <c r="G58" s="452"/>
      <c r="H58" s="452"/>
      <c r="I58" s="452"/>
      <c r="J58" s="452"/>
      <c r="K58" s="452"/>
      <c r="L58" s="452"/>
      <c r="M58" s="452"/>
    </row>
    <row r="59" spans="1:13" x14ac:dyDescent="0.2">
      <c r="A59" s="343"/>
      <c r="B59" s="470" t="s">
        <v>29</v>
      </c>
      <c r="C59" s="468"/>
      <c r="D59" s="468"/>
      <c r="E59" s="20"/>
      <c r="F59" s="349">
        <f ca="1">IF(Q4=0,"Bloqueado",IF(E59="",0,154.79*E59))</f>
        <v>0</v>
      </c>
      <c r="G59" s="452"/>
      <c r="H59" s="452"/>
      <c r="I59" s="452"/>
      <c r="J59" s="452"/>
      <c r="K59" s="452"/>
      <c r="L59" s="452"/>
      <c r="M59" s="452"/>
    </row>
    <row r="60" spans="1:13" ht="6" customHeight="1" x14ac:dyDescent="0.2">
      <c r="A60" s="6"/>
      <c r="B60" s="18"/>
      <c r="C60" s="468"/>
      <c r="D60" s="468"/>
      <c r="E60" s="462"/>
      <c r="F60" s="21"/>
      <c r="G60" s="452"/>
      <c r="H60" s="452"/>
      <c r="I60" s="452"/>
      <c r="J60" s="452"/>
      <c r="K60" s="452"/>
      <c r="L60" s="452"/>
      <c r="M60" s="452"/>
    </row>
    <row r="61" spans="1:13" ht="36" customHeight="1" x14ac:dyDescent="0.2">
      <c r="A61" s="6"/>
      <c r="B61" s="350" t="s">
        <v>30</v>
      </c>
      <c r="C61" s="468"/>
      <c r="D61" s="468"/>
      <c r="E61" s="462"/>
      <c r="F61" s="21"/>
      <c r="G61" s="452"/>
      <c r="H61" s="452"/>
      <c r="I61" s="452"/>
      <c r="J61" s="452"/>
      <c r="K61" s="452"/>
      <c r="L61" s="452"/>
      <c r="M61" s="452"/>
    </row>
    <row r="62" spans="1:13" ht="9" customHeight="1" x14ac:dyDescent="0.2">
      <c r="A62" s="6"/>
      <c r="B62" s="18"/>
      <c r="C62" s="468"/>
      <c r="D62" s="468"/>
      <c r="E62" s="462"/>
      <c r="F62" s="21"/>
      <c r="G62" s="452"/>
      <c r="H62" s="452"/>
      <c r="I62" s="452"/>
      <c r="J62" s="452"/>
      <c r="K62" s="452"/>
      <c r="L62" s="452"/>
      <c r="M62" s="452"/>
    </row>
    <row r="63" spans="1:13" ht="12" customHeight="1" x14ac:dyDescent="0.2">
      <c r="A63" s="343"/>
      <c r="B63" s="469" t="s">
        <v>28</v>
      </c>
      <c r="C63" s="468"/>
      <c r="D63" s="468"/>
      <c r="E63" s="20"/>
      <c r="F63" s="349">
        <f ca="1">IF(Q4=0,"Bloqueado",IF(E63="",0,154.79*E63))</f>
        <v>0</v>
      </c>
      <c r="G63" s="452"/>
      <c r="H63" s="452"/>
      <c r="I63" s="452"/>
      <c r="J63" s="452"/>
      <c r="K63" s="452"/>
      <c r="L63" s="452"/>
      <c r="M63" s="452"/>
    </row>
    <row r="64" spans="1:13" ht="5.25" customHeight="1" x14ac:dyDescent="0.2">
      <c r="A64" s="343"/>
      <c r="B64" s="50"/>
      <c r="C64" s="468"/>
      <c r="D64" s="468"/>
      <c r="E64" s="462"/>
      <c r="F64" s="21"/>
      <c r="G64" s="452"/>
      <c r="H64" s="452"/>
      <c r="I64" s="452"/>
      <c r="J64" s="452"/>
      <c r="K64" s="452"/>
      <c r="L64" s="452"/>
      <c r="M64" s="452"/>
    </row>
    <row r="65" spans="1:13" ht="12.75" customHeight="1" x14ac:dyDescent="0.2">
      <c r="A65" s="343"/>
      <c r="B65" s="470" t="s">
        <v>29</v>
      </c>
      <c r="C65" s="468"/>
      <c r="D65" s="468"/>
      <c r="E65" s="20"/>
      <c r="F65" s="349">
        <f ca="1">IF(Q4=0,"Bloqueado",IF(E65="",0,289.92*E65))</f>
        <v>0</v>
      </c>
      <c r="G65" s="452"/>
      <c r="H65" s="452"/>
      <c r="I65" s="452"/>
      <c r="J65" s="452"/>
      <c r="K65" s="452"/>
      <c r="L65" s="452"/>
      <c r="M65" s="452"/>
    </row>
    <row r="66" spans="1:13" ht="6.75" customHeight="1" x14ac:dyDescent="0.2">
      <c r="A66" s="343"/>
      <c r="B66" s="470"/>
      <c r="C66" s="468"/>
      <c r="D66" s="468"/>
      <c r="E66" s="462"/>
      <c r="F66" s="349"/>
      <c r="G66" s="452"/>
      <c r="H66" s="452"/>
      <c r="I66" s="452"/>
      <c r="J66" s="452"/>
      <c r="K66" s="452"/>
      <c r="L66" s="452"/>
      <c r="M66" s="452"/>
    </row>
    <row r="67" spans="1:13" ht="12.75" customHeight="1" x14ac:dyDescent="0.2">
      <c r="A67" s="343"/>
      <c r="B67" s="470" t="s">
        <v>31</v>
      </c>
      <c r="C67" s="468"/>
      <c r="D67" s="468"/>
      <c r="E67" s="462"/>
      <c r="F67" s="349"/>
      <c r="G67" s="452"/>
      <c r="H67" s="452"/>
      <c r="I67" s="452"/>
      <c r="J67" s="452"/>
      <c r="K67" s="452"/>
      <c r="L67" s="452"/>
      <c r="M67" s="452"/>
    </row>
    <row r="68" spans="1:13" ht="6" customHeight="1" x14ac:dyDescent="0.2">
      <c r="A68" s="343"/>
      <c r="B68" s="470"/>
      <c r="C68" s="468"/>
      <c r="D68" s="468"/>
      <c r="E68" s="462"/>
      <c r="F68" s="349"/>
      <c r="G68" s="452"/>
      <c r="H68" s="452"/>
      <c r="I68" s="452"/>
      <c r="J68" s="452"/>
      <c r="K68" s="452"/>
      <c r="L68" s="452"/>
      <c r="M68" s="452"/>
    </row>
    <row r="69" spans="1:13" ht="12.75" customHeight="1" x14ac:dyDescent="0.2">
      <c r="A69" s="343"/>
      <c r="B69" s="469" t="s">
        <v>32</v>
      </c>
      <c r="C69" s="468"/>
      <c r="D69" s="468"/>
      <c r="E69" s="20"/>
      <c r="F69" s="349">
        <f ca="1">IF(Q4=0,"Bloqueado",IF(E69="",0,154.79*E69))</f>
        <v>0</v>
      </c>
      <c r="G69" s="452"/>
      <c r="H69" s="452"/>
      <c r="I69" s="452"/>
      <c r="J69" s="452"/>
      <c r="K69" s="452"/>
      <c r="L69" s="452"/>
      <c r="M69" s="452"/>
    </row>
    <row r="70" spans="1:13" ht="6.75" customHeight="1" x14ac:dyDescent="0.2">
      <c r="A70" s="343"/>
      <c r="B70" s="470"/>
      <c r="C70" s="468"/>
      <c r="D70" s="468"/>
      <c r="E70" s="462"/>
      <c r="F70" s="349"/>
      <c r="G70" s="452"/>
      <c r="H70" s="452"/>
      <c r="I70" s="452"/>
      <c r="J70" s="452"/>
      <c r="K70" s="452"/>
      <c r="L70" s="452"/>
      <c r="M70" s="452"/>
    </row>
    <row r="71" spans="1:13" ht="12.75" customHeight="1" x14ac:dyDescent="0.2">
      <c r="A71" s="343"/>
      <c r="B71" s="470" t="s">
        <v>33</v>
      </c>
      <c r="C71" s="468"/>
      <c r="D71" s="468"/>
      <c r="E71" s="20"/>
      <c r="F71" s="349">
        <f ca="1">IF(Q4=0,"Bloqueado",IF(E71="",0,289.92*E71))</f>
        <v>0</v>
      </c>
      <c r="G71" s="452"/>
      <c r="H71" s="452"/>
      <c r="I71" s="452"/>
      <c r="J71" s="452"/>
      <c r="K71" s="452"/>
      <c r="L71" s="452"/>
      <c r="M71" s="452"/>
    </row>
    <row r="72" spans="1:13" ht="7.5" customHeight="1" x14ac:dyDescent="0.2">
      <c r="A72" s="343"/>
      <c r="B72" s="470"/>
      <c r="C72" s="468"/>
      <c r="D72" s="468"/>
      <c r="E72" s="462"/>
      <c r="F72" s="349"/>
      <c r="G72" s="452"/>
      <c r="H72" s="452"/>
      <c r="I72" s="452"/>
      <c r="J72" s="452"/>
      <c r="K72" s="452"/>
      <c r="L72" s="452"/>
      <c r="M72" s="452"/>
    </row>
    <row r="73" spans="1:13" ht="12.75" customHeight="1" x14ac:dyDescent="0.2">
      <c r="A73" s="343"/>
      <c r="B73" s="465" t="s">
        <v>34</v>
      </c>
      <c r="C73" s="468"/>
      <c r="D73" s="468"/>
      <c r="E73" s="20"/>
      <c r="F73" s="349">
        <f ca="1">IF(Q4=0,"Bloqueado",IF(E73="",0,289.92*E73))</f>
        <v>0</v>
      </c>
      <c r="G73" s="452"/>
      <c r="H73" s="452"/>
      <c r="I73" s="452"/>
      <c r="J73" s="452"/>
      <c r="K73" s="452"/>
      <c r="L73" s="452"/>
      <c r="M73" s="452"/>
    </row>
    <row r="74" spans="1:13" ht="6.75" customHeight="1" x14ac:dyDescent="0.2">
      <c r="A74" s="343"/>
      <c r="B74" s="468"/>
      <c r="C74" s="468"/>
      <c r="D74" s="468"/>
      <c r="E74" s="462"/>
      <c r="F74" s="349"/>
      <c r="G74" s="452"/>
      <c r="H74" s="452"/>
      <c r="I74" s="452"/>
      <c r="J74" s="452"/>
      <c r="K74" s="452"/>
      <c r="L74" s="452"/>
      <c r="M74" s="452"/>
    </row>
    <row r="75" spans="1:13" ht="29.25" customHeight="1" x14ac:dyDescent="0.2">
      <c r="A75" s="343"/>
      <c r="B75" s="471" t="s">
        <v>35</v>
      </c>
      <c r="C75" s="468"/>
      <c r="D75" s="468"/>
      <c r="E75" s="348"/>
      <c r="F75" s="349">
        <f ca="1">IF(Q4=0,"Bloqueado",IF(E75="",0,154.79*E75))</f>
        <v>0</v>
      </c>
      <c r="G75" s="452"/>
      <c r="H75" s="452"/>
      <c r="I75" s="452"/>
      <c r="J75" s="452"/>
      <c r="K75" s="452"/>
      <c r="L75" s="452"/>
      <c r="M75" s="452"/>
    </row>
    <row r="76" spans="1:13" ht="6.75" customHeight="1" x14ac:dyDescent="0.2">
      <c r="A76" s="343"/>
      <c r="B76" s="468"/>
      <c r="C76" s="468"/>
      <c r="D76" s="468"/>
      <c r="E76" s="462"/>
      <c r="F76" s="349"/>
      <c r="G76" s="452"/>
      <c r="H76" s="452"/>
      <c r="I76" s="452"/>
      <c r="J76" s="452"/>
      <c r="K76" s="452"/>
      <c r="L76" s="452"/>
      <c r="M76" s="452"/>
    </row>
    <row r="77" spans="1:13" ht="12.75" customHeight="1" x14ac:dyDescent="0.2">
      <c r="A77" s="343"/>
      <c r="B77" s="465" t="s">
        <v>36</v>
      </c>
      <c r="C77" s="468"/>
      <c r="D77" s="468"/>
      <c r="E77" s="20"/>
      <c r="F77" s="349">
        <f ca="1">IF(Q4=0,"Bloqueado",IF(E77="",0,85.59*E77))</f>
        <v>0</v>
      </c>
      <c r="G77" s="452"/>
      <c r="H77" s="452"/>
      <c r="I77" s="452"/>
      <c r="J77" s="452"/>
      <c r="K77" s="452"/>
      <c r="L77" s="452"/>
      <c r="M77" s="452"/>
    </row>
    <row r="78" spans="1:13" ht="6.75" customHeight="1" x14ac:dyDescent="0.2">
      <c r="A78" s="343"/>
      <c r="B78" s="468"/>
      <c r="C78" s="468"/>
      <c r="D78" s="468"/>
      <c r="E78" s="462"/>
      <c r="F78" s="349"/>
      <c r="G78" s="452"/>
      <c r="H78" s="452"/>
      <c r="I78" s="452"/>
      <c r="J78" s="452"/>
      <c r="K78" s="452"/>
      <c r="L78" s="452"/>
      <c r="M78" s="452"/>
    </row>
    <row r="79" spans="1:13" ht="12.75" customHeight="1" x14ac:dyDescent="0.2">
      <c r="A79" s="343"/>
      <c r="B79" s="465" t="s">
        <v>37</v>
      </c>
      <c r="C79" s="468"/>
      <c r="D79" s="468"/>
      <c r="E79" s="20"/>
      <c r="F79" s="349">
        <f ca="1">IF(Q4=0,"Bloqueado",IF(E79="",0,85.59*E79))</f>
        <v>0</v>
      </c>
      <c r="G79" s="452"/>
      <c r="H79" s="452"/>
      <c r="I79" s="452"/>
      <c r="J79" s="452"/>
      <c r="K79" s="452"/>
      <c r="L79" s="452"/>
      <c r="M79" s="452"/>
    </row>
    <row r="80" spans="1:13" ht="6" customHeight="1" x14ac:dyDescent="0.2">
      <c r="A80" s="343"/>
      <c r="B80" s="465"/>
      <c r="C80" s="468"/>
      <c r="D80" s="468"/>
      <c r="E80" s="462"/>
      <c r="F80" s="349"/>
      <c r="G80" s="452"/>
      <c r="H80" s="452"/>
      <c r="I80" s="452"/>
      <c r="J80" s="452"/>
      <c r="K80" s="452"/>
      <c r="L80" s="452"/>
      <c r="M80" s="452"/>
    </row>
    <row r="81" spans="1:13" x14ac:dyDescent="0.2">
      <c r="A81" s="343"/>
      <c r="B81" s="50" t="s">
        <v>38</v>
      </c>
      <c r="C81" s="50"/>
      <c r="D81" s="50"/>
      <c r="E81" s="461"/>
      <c r="F81" s="21"/>
      <c r="G81" s="512" t="str">
        <f>IF(O81=2,"Escolher entre Despejo e Despejo cumulado com cobrança",IF(E81=0,"","2% de doze vezes o valor do aluguel - art. 125, I, CTE"))</f>
        <v/>
      </c>
      <c r="H81" s="512"/>
      <c r="I81" s="512"/>
      <c r="J81" s="512"/>
      <c r="K81" s="512"/>
      <c r="L81" s="512"/>
      <c r="M81" s="452"/>
    </row>
    <row r="82" spans="1:13" ht="6.75" customHeight="1" x14ac:dyDescent="0.2">
      <c r="A82" s="6"/>
      <c r="B82" s="22"/>
      <c r="C82" s="131"/>
      <c r="D82" s="131"/>
      <c r="E82" s="7"/>
      <c r="F82" s="21"/>
      <c r="G82" s="452"/>
      <c r="H82" s="452"/>
      <c r="I82" s="452"/>
      <c r="J82" s="452"/>
      <c r="K82" s="452"/>
      <c r="L82" s="452"/>
      <c r="M82" s="452"/>
    </row>
    <row r="83" spans="1:13" x14ac:dyDescent="0.2">
      <c r="A83" s="6"/>
      <c r="B83" s="22" t="s">
        <v>39</v>
      </c>
      <c r="C83" s="131"/>
      <c r="D83" s="131"/>
      <c r="E83" s="20"/>
      <c r="F83" s="21">
        <f ca="1">IF(Q4=0,"Bloqueado",IF(E83="",0,220.61*E83))</f>
        <v>0</v>
      </c>
      <c r="G83" s="452"/>
      <c r="H83" s="452"/>
      <c r="I83" s="452"/>
      <c r="J83" s="452"/>
      <c r="K83" s="452"/>
      <c r="L83" s="452"/>
      <c r="M83" s="452"/>
    </row>
    <row r="84" spans="1:13" ht="6.75" customHeight="1" x14ac:dyDescent="0.2">
      <c r="A84" s="6"/>
      <c r="B84" s="18"/>
      <c r="C84" s="50"/>
      <c r="D84" s="50"/>
      <c r="E84" s="7"/>
      <c r="F84" s="21"/>
      <c r="G84" s="452"/>
      <c r="H84" s="452"/>
      <c r="I84" s="452"/>
      <c r="J84" s="452"/>
      <c r="K84" s="452"/>
      <c r="L84" s="452"/>
      <c r="M84" s="452"/>
    </row>
    <row r="85" spans="1:13" ht="12.75" customHeight="1" x14ac:dyDescent="0.2">
      <c r="A85" s="6"/>
      <c r="B85" s="22" t="s">
        <v>40</v>
      </c>
      <c r="C85" s="131"/>
      <c r="D85" s="131"/>
      <c r="E85" s="20"/>
      <c r="F85" s="21">
        <f ca="1">IF(Q4=0,"Bloqueado",IF(E85="",0,79.01*E85))</f>
        <v>0</v>
      </c>
      <c r="G85" s="452"/>
      <c r="H85" s="452"/>
      <c r="I85" s="452"/>
      <c r="J85" s="452"/>
      <c r="K85" s="452"/>
      <c r="L85" s="452"/>
      <c r="M85" s="452"/>
    </row>
    <row r="86" spans="1:13" ht="6.75" customHeight="1" x14ac:dyDescent="0.2">
      <c r="A86" s="6"/>
      <c r="B86" s="18"/>
      <c r="C86" s="50"/>
      <c r="D86" s="50"/>
      <c r="E86" s="7"/>
      <c r="F86" s="21"/>
      <c r="G86" s="452"/>
      <c r="H86" s="452"/>
      <c r="I86" s="452"/>
      <c r="J86" s="452"/>
      <c r="K86" s="452"/>
      <c r="L86" s="452"/>
      <c r="M86" s="452"/>
    </row>
    <row r="87" spans="1:13" x14ac:dyDescent="0.2">
      <c r="A87" s="6"/>
      <c r="B87" s="22" t="s">
        <v>41</v>
      </c>
      <c r="C87" s="131"/>
      <c r="D87" s="131"/>
      <c r="E87" s="20"/>
      <c r="F87" s="21">
        <f ca="1">IF(Q4=0,"Bloqueado",IF(E87="",0,E87*154.79))</f>
        <v>0</v>
      </c>
      <c r="G87" s="512"/>
      <c r="H87" s="512"/>
      <c r="I87" s="512"/>
      <c r="J87" s="512"/>
      <c r="K87" s="512"/>
      <c r="L87" s="23"/>
      <c r="M87" s="23"/>
    </row>
    <row r="88" spans="1:13" ht="6.75" customHeight="1" x14ac:dyDescent="0.2">
      <c r="A88" s="6"/>
      <c r="B88" s="18"/>
      <c r="C88" s="50"/>
      <c r="D88" s="50"/>
      <c r="E88" s="7"/>
      <c r="F88" s="21"/>
      <c r="G88" s="452"/>
      <c r="H88" s="452"/>
      <c r="I88" s="452"/>
      <c r="J88" s="452"/>
      <c r="K88" s="452"/>
      <c r="L88" s="452"/>
      <c r="M88" s="452"/>
    </row>
    <row r="89" spans="1:13" ht="13.5" customHeight="1" x14ac:dyDescent="0.2">
      <c r="A89" s="343"/>
      <c r="B89" s="472" t="s">
        <v>42</v>
      </c>
      <c r="C89" s="131"/>
      <c r="D89" s="131"/>
      <c r="E89" s="20"/>
      <c r="F89" s="21">
        <f ca="1">IF(Q4=0,"Bloqueado",IF(E89="",0,E89*154.79))</f>
        <v>0</v>
      </c>
      <c r="G89" s="452"/>
      <c r="H89" s="452"/>
      <c r="I89" s="452"/>
      <c r="J89" s="452"/>
      <c r="K89" s="452"/>
      <c r="L89" s="452"/>
      <c r="M89" s="452"/>
    </row>
    <row r="90" spans="1:13" ht="6.75" customHeight="1" x14ac:dyDescent="0.2">
      <c r="A90" s="6"/>
      <c r="B90" s="18"/>
      <c r="C90" s="50"/>
      <c r="D90" s="50"/>
      <c r="E90" s="7"/>
      <c r="F90" s="21"/>
      <c r="G90" s="452"/>
      <c r="H90" s="452"/>
      <c r="I90" s="452"/>
      <c r="J90" s="452"/>
      <c r="K90" s="452"/>
      <c r="L90" s="452"/>
      <c r="M90" s="452"/>
    </row>
    <row r="91" spans="1:13" x14ac:dyDescent="0.2">
      <c r="A91" s="6"/>
      <c r="B91" s="18" t="s">
        <v>43</v>
      </c>
      <c r="C91" s="50"/>
      <c r="D91" s="50"/>
      <c r="E91" s="461"/>
      <c r="F91" s="21"/>
      <c r="G91" s="452" t="str">
        <f>IF(E91=0,"","58,59 (por pedido genérico) ou 2% do valor do pedido (líquido) - art. 119, CTE")</f>
        <v/>
      </c>
      <c r="H91" s="452"/>
      <c r="I91" s="452"/>
      <c r="J91" s="452"/>
      <c r="K91" s="452"/>
      <c r="L91" s="452"/>
      <c r="M91" s="452"/>
    </row>
    <row r="92" spans="1:13" ht="6.75" customHeight="1" x14ac:dyDescent="0.2">
      <c r="A92" s="6"/>
      <c r="B92" s="22"/>
      <c r="C92" s="131"/>
      <c r="D92" s="131"/>
      <c r="E92" s="7"/>
      <c r="F92" s="21"/>
      <c r="G92" s="452"/>
      <c r="H92" s="452"/>
      <c r="I92" s="452"/>
      <c r="J92" s="452"/>
      <c r="K92" s="452"/>
      <c r="L92" s="452"/>
      <c r="M92" s="452"/>
    </row>
    <row r="93" spans="1:13" x14ac:dyDescent="0.2">
      <c r="A93" s="6"/>
      <c r="B93" s="22" t="s">
        <v>44</v>
      </c>
      <c r="C93" s="131"/>
      <c r="D93" s="131"/>
      <c r="E93" s="20"/>
      <c r="F93" s="21">
        <f ca="1">IF(Q4=0,"Bloqueado",IF(E93="",0,569.81*E93))</f>
        <v>0</v>
      </c>
      <c r="G93" s="452"/>
      <c r="H93" s="452"/>
      <c r="I93" s="452"/>
      <c r="J93" s="452"/>
      <c r="K93" s="452"/>
      <c r="L93" s="452"/>
      <c r="M93" s="452"/>
    </row>
    <row r="94" spans="1:13" ht="6.75" customHeight="1" x14ac:dyDescent="0.2">
      <c r="A94" s="6"/>
      <c r="B94" s="18"/>
      <c r="C94" s="50"/>
      <c r="D94" s="50"/>
      <c r="E94" s="7"/>
      <c r="F94" s="21"/>
      <c r="G94" s="452"/>
      <c r="H94" s="452"/>
      <c r="I94" s="452"/>
      <c r="J94" s="452"/>
      <c r="K94" s="452"/>
      <c r="L94" s="452"/>
      <c r="M94" s="452"/>
    </row>
    <row r="95" spans="1:13" x14ac:dyDescent="0.2">
      <c r="A95" s="6"/>
      <c r="B95" s="24" t="s">
        <v>45</v>
      </c>
      <c r="C95" s="456"/>
      <c r="D95" s="456"/>
      <c r="E95" s="20"/>
      <c r="F95" s="21">
        <f ca="1">IF(Q4=0,"Bloqueado",IF(E95="",0,289.92*E95))</f>
        <v>0</v>
      </c>
      <c r="G95" s="452"/>
      <c r="H95" s="452"/>
      <c r="I95" s="452"/>
      <c r="J95" s="452"/>
      <c r="K95" s="452"/>
      <c r="L95" s="452"/>
      <c r="M95" s="452"/>
    </row>
    <row r="96" spans="1:13" ht="6.75" customHeight="1" x14ac:dyDescent="0.2">
      <c r="A96" s="6"/>
      <c r="B96" s="24"/>
      <c r="C96" s="456"/>
      <c r="D96" s="456"/>
      <c r="E96" s="7"/>
      <c r="F96" s="25"/>
      <c r="G96" s="452"/>
      <c r="H96" s="452"/>
      <c r="I96" s="452"/>
      <c r="J96" s="452"/>
      <c r="K96" s="452"/>
      <c r="L96" s="452"/>
      <c r="M96" s="452"/>
    </row>
    <row r="97" spans="1:13" ht="10.5" customHeight="1" x14ac:dyDescent="0.2">
      <c r="A97" s="6"/>
      <c r="B97" s="26" t="s">
        <v>46</v>
      </c>
      <c r="C97" s="281"/>
      <c r="D97" s="281"/>
      <c r="E97" s="27"/>
      <c r="F97" s="28">
        <f ca="1">IF(Q4=0,"Bloqueado",IF(E97="",0,79.01*E97))</f>
        <v>0</v>
      </c>
      <c r="G97" s="452"/>
      <c r="H97" s="452"/>
      <c r="I97" s="452"/>
      <c r="J97" s="452"/>
      <c r="K97" s="452"/>
      <c r="L97" s="452"/>
      <c r="M97" s="452"/>
    </row>
    <row r="98" spans="1:13" ht="6.75" customHeight="1" x14ac:dyDescent="0.2">
      <c r="A98" s="6"/>
      <c r="B98" s="24"/>
      <c r="C98" s="456"/>
      <c r="D98" s="456"/>
      <c r="E98" s="7"/>
      <c r="F98" s="25"/>
      <c r="G98" s="452"/>
      <c r="H98" s="452"/>
      <c r="I98" s="452"/>
      <c r="J98" s="452"/>
      <c r="K98" s="452"/>
      <c r="L98" s="452"/>
      <c r="M98" s="452"/>
    </row>
    <row r="99" spans="1:13" x14ac:dyDescent="0.2">
      <c r="A99" s="6"/>
      <c r="B99" s="22" t="s">
        <v>47</v>
      </c>
      <c r="C99" s="131"/>
      <c r="D99" s="131"/>
      <c r="E99" s="20"/>
      <c r="F99" s="28">
        <f ca="1">IF(Q4=0,"Bloqueado",IF(E99="",0,289.92*E99))</f>
        <v>0</v>
      </c>
      <c r="G99" s="455" t="str">
        <f>IF(E99=0,"","ISENTO")</f>
        <v/>
      </c>
      <c r="H99" s="452"/>
      <c r="I99" s="452"/>
      <c r="J99" s="452"/>
      <c r="K99" s="452"/>
      <c r="L99" s="452"/>
      <c r="M99" s="452"/>
    </row>
    <row r="100" spans="1:13" ht="6.75" customHeight="1" x14ac:dyDescent="0.2">
      <c r="A100" s="6"/>
      <c r="B100" s="24"/>
      <c r="C100" s="456"/>
      <c r="D100" s="456"/>
      <c r="E100" s="7"/>
      <c r="F100" s="25"/>
      <c r="G100" s="452"/>
      <c r="H100" s="452"/>
      <c r="I100" s="452"/>
      <c r="J100" s="452"/>
      <c r="K100" s="452"/>
      <c r="L100" s="452"/>
      <c r="M100" s="452"/>
    </row>
    <row r="101" spans="1:13" ht="12.75" customHeight="1" x14ac:dyDescent="0.2">
      <c r="A101" s="6"/>
      <c r="B101" s="24" t="s">
        <v>48</v>
      </c>
      <c r="C101" s="456"/>
      <c r="D101" s="456"/>
      <c r="E101" s="20"/>
      <c r="F101" s="25">
        <f ca="1">IF(Q4=0,"Bloqueado",IF(E101=0,0,IF(E101=1,154.79,154.79+((E101-1)*32.9))))</f>
        <v>0</v>
      </c>
      <c r="G101" s="452"/>
      <c r="H101" s="452"/>
      <c r="I101" s="452"/>
      <c r="J101" s="452"/>
      <c r="K101" s="452"/>
      <c r="L101" s="452"/>
      <c r="M101" s="452"/>
    </row>
    <row r="102" spans="1:13" ht="6.75" customHeight="1" x14ac:dyDescent="0.2">
      <c r="A102" s="6"/>
      <c r="B102" s="24"/>
      <c r="C102" s="456"/>
      <c r="D102" s="456"/>
      <c r="E102" s="7"/>
      <c r="F102" s="25"/>
      <c r="G102" s="452"/>
      <c r="H102" s="452"/>
      <c r="I102" s="452"/>
      <c r="J102" s="452"/>
      <c r="K102" s="452"/>
      <c r="L102" s="452"/>
      <c r="M102" s="452"/>
    </row>
    <row r="103" spans="1:13" x14ac:dyDescent="0.2">
      <c r="A103" s="6"/>
      <c r="B103" s="24" t="s">
        <v>49</v>
      </c>
      <c r="C103" s="456"/>
      <c r="D103" s="456"/>
      <c r="E103" s="20"/>
      <c r="F103" s="25">
        <f ca="1">IF(Q4=0,"Bloqueado",IF(E103="",0,E103*220.61))</f>
        <v>0</v>
      </c>
      <c r="G103" s="452"/>
      <c r="H103" s="452"/>
      <c r="I103" s="452"/>
      <c r="J103" s="452"/>
      <c r="K103" s="452"/>
      <c r="L103" s="452"/>
      <c r="M103" s="452"/>
    </row>
    <row r="104" spans="1:13" ht="6.75" customHeight="1" x14ac:dyDescent="0.2">
      <c r="A104" s="6"/>
      <c r="B104" s="24"/>
      <c r="C104" s="456"/>
      <c r="D104" s="456"/>
      <c r="E104" s="7"/>
      <c r="F104" s="25"/>
      <c r="G104" s="452"/>
      <c r="H104" s="452"/>
      <c r="I104" s="452"/>
      <c r="J104" s="452"/>
      <c r="K104" s="452"/>
      <c r="L104" s="452"/>
      <c r="M104" s="452"/>
    </row>
    <row r="105" spans="1:13" ht="12.75" customHeight="1" x14ac:dyDescent="0.2">
      <c r="A105" s="6"/>
      <c r="B105" s="24" t="s">
        <v>50</v>
      </c>
      <c r="C105" s="456"/>
      <c r="D105" s="456"/>
      <c r="E105" s="20"/>
      <c r="F105" s="25">
        <f ca="1">IF(Q4=0,"Bloqueado",IF(E105="",0,230.5*E105))</f>
        <v>0</v>
      </c>
      <c r="G105" s="452"/>
      <c r="H105" s="452"/>
      <c r="I105" s="452"/>
      <c r="J105" s="452"/>
      <c r="K105" s="452"/>
      <c r="L105" s="452"/>
      <c r="M105" s="452"/>
    </row>
    <row r="106" spans="1:13" ht="6.75" customHeight="1" x14ac:dyDescent="0.2">
      <c r="A106" s="6"/>
      <c r="B106" s="30"/>
      <c r="C106" s="12"/>
      <c r="D106" s="12"/>
      <c r="E106" s="7"/>
      <c r="F106" s="25"/>
      <c r="G106" s="452"/>
      <c r="H106" s="452"/>
      <c r="I106" s="452"/>
      <c r="J106" s="452"/>
      <c r="K106" s="452"/>
      <c r="L106" s="452"/>
      <c r="M106" s="452"/>
    </row>
    <row r="107" spans="1:13" ht="12.75" customHeight="1" x14ac:dyDescent="0.2">
      <c r="A107" s="6"/>
      <c r="B107" s="24" t="s">
        <v>51</v>
      </c>
      <c r="C107" s="456"/>
      <c r="D107" s="456"/>
      <c r="E107" s="20"/>
      <c r="F107" s="25">
        <f ca="1">IF(Q4=0,"Bloqueado",IF(E107="",0,154.79*E107))</f>
        <v>0</v>
      </c>
      <c r="G107" s="452"/>
      <c r="H107" s="452"/>
      <c r="I107" s="452"/>
      <c r="J107" s="452"/>
      <c r="K107" s="452"/>
      <c r="L107" s="452"/>
      <c r="M107" s="452"/>
    </row>
    <row r="108" spans="1:13" ht="6.75" customHeight="1" x14ac:dyDescent="0.2">
      <c r="A108" s="6"/>
      <c r="B108" s="24"/>
      <c r="C108" s="456"/>
      <c r="D108" s="456"/>
      <c r="E108" s="7"/>
      <c r="F108" s="25"/>
      <c r="G108" s="452"/>
      <c r="H108" s="452"/>
      <c r="I108" s="452"/>
      <c r="J108" s="452"/>
      <c r="K108" s="452"/>
      <c r="L108" s="452"/>
      <c r="M108" s="452"/>
    </row>
    <row r="109" spans="1:13" ht="12.75" customHeight="1" x14ac:dyDescent="0.2">
      <c r="A109" s="6"/>
      <c r="B109" s="24" t="s">
        <v>52</v>
      </c>
      <c r="C109" s="456"/>
      <c r="D109" s="456"/>
      <c r="E109" s="20"/>
      <c r="F109" s="25">
        <f ca="1">IF(Q4=0,"Bloqueado",IF(E109="",0,220.61*E109))</f>
        <v>0</v>
      </c>
      <c r="G109" s="452"/>
      <c r="H109" s="452"/>
      <c r="I109" s="452"/>
      <c r="J109" s="452"/>
      <c r="K109" s="452"/>
      <c r="L109" s="452"/>
      <c r="M109" s="452"/>
    </row>
    <row r="110" spans="1:13" ht="6.75" customHeight="1" x14ac:dyDescent="0.2">
      <c r="A110" s="6"/>
      <c r="B110" s="24"/>
      <c r="C110" s="456"/>
      <c r="D110" s="456"/>
      <c r="E110" s="7"/>
      <c r="F110" s="25"/>
      <c r="G110" s="452"/>
      <c r="H110" s="452"/>
      <c r="I110" s="452"/>
      <c r="J110" s="452"/>
      <c r="K110" s="452"/>
      <c r="L110" s="452"/>
      <c r="M110" s="452"/>
    </row>
    <row r="111" spans="1:13" ht="38.25" x14ac:dyDescent="0.2">
      <c r="A111" s="6"/>
      <c r="B111" s="26" t="s">
        <v>53</v>
      </c>
      <c r="C111" s="281"/>
      <c r="D111" s="281"/>
      <c r="E111" s="27"/>
      <c r="F111" s="28">
        <f ca="1">IF(Q4=0,"Bloqueado",IF(E111="",0,85.59*E111))</f>
        <v>0</v>
      </c>
      <c r="G111" s="452"/>
      <c r="H111" s="452"/>
      <c r="I111" s="452"/>
      <c r="J111" s="452"/>
      <c r="K111" s="452"/>
      <c r="L111" s="452"/>
      <c r="M111" s="452"/>
    </row>
    <row r="112" spans="1:13" ht="6.75" customHeight="1" x14ac:dyDescent="0.2">
      <c r="A112" s="6"/>
      <c r="B112" s="24"/>
      <c r="C112" s="456"/>
      <c r="D112" s="456"/>
      <c r="E112" s="31"/>
      <c r="F112" s="28"/>
      <c r="G112" s="452"/>
      <c r="H112" s="452"/>
      <c r="I112" s="452"/>
      <c r="J112" s="452"/>
      <c r="K112" s="452"/>
      <c r="L112" s="452"/>
      <c r="M112" s="452"/>
    </row>
    <row r="113" spans="1:13" ht="38.25" x14ac:dyDescent="0.2">
      <c r="A113" s="6"/>
      <c r="B113" s="26" t="s">
        <v>54</v>
      </c>
      <c r="C113" s="281"/>
      <c r="D113" s="281"/>
      <c r="E113" s="27"/>
      <c r="F113" s="28">
        <f ca="1">IF(Q4=0,"Bloqueado",IF(E113="",0,85.59*E113))</f>
        <v>0</v>
      </c>
      <c r="G113" s="452"/>
      <c r="H113" s="452"/>
      <c r="I113" s="452"/>
      <c r="J113" s="452"/>
      <c r="K113" s="452"/>
      <c r="L113" s="452"/>
      <c r="M113" s="452"/>
    </row>
    <row r="114" spans="1:13" ht="6.75" customHeight="1" x14ac:dyDescent="0.2">
      <c r="A114" s="6"/>
      <c r="B114" s="24"/>
      <c r="C114" s="456"/>
      <c r="D114" s="456"/>
      <c r="E114" s="7"/>
      <c r="F114" s="25"/>
      <c r="G114" s="452"/>
      <c r="H114" s="452"/>
      <c r="I114" s="452"/>
      <c r="J114" s="452"/>
      <c r="K114" s="452"/>
      <c r="L114" s="452"/>
      <c r="M114" s="452"/>
    </row>
    <row r="115" spans="1:13" ht="25.5" x14ac:dyDescent="0.2">
      <c r="A115" s="6"/>
      <c r="B115" s="26" t="s">
        <v>55</v>
      </c>
      <c r="C115" s="281"/>
      <c r="D115" s="281"/>
      <c r="E115" s="7"/>
      <c r="F115" s="25"/>
      <c r="G115" s="452" t="str">
        <f>IF(E115="","","R$ 58,59, por requerente - art. 134, II, CTE")</f>
        <v/>
      </c>
      <c r="H115" s="452"/>
      <c r="I115" s="452"/>
      <c r="J115" s="452"/>
      <c r="K115" s="452"/>
      <c r="L115" s="452"/>
      <c r="M115" s="452"/>
    </row>
    <row r="116" spans="1:13" ht="6.75" customHeight="1" x14ac:dyDescent="0.2">
      <c r="A116" s="6"/>
      <c r="B116" s="30"/>
      <c r="C116" s="12"/>
      <c r="D116" s="12"/>
      <c r="E116" s="7"/>
      <c r="F116" s="25"/>
      <c r="G116" s="452"/>
      <c r="H116" s="452"/>
      <c r="I116" s="452"/>
      <c r="J116" s="452"/>
      <c r="K116" s="452"/>
      <c r="L116" s="452"/>
      <c r="M116" s="452"/>
    </row>
    <row r="117" spans="1:13" ht="12.75" customHeight="1" x14ac:dyDescent="0.2">
      <c r="A117" s="6"/>
      <c r="B117" s="24" t="s">
        <v>56</v>
      </c>
      <c r="C117" s="456"/>
      <c r="D117" s="456"/>
      <c r="E117" s="20"/>
      <c r="F117" s="25">
        <f ca="1">IF(Q4=0,"Bloqueado",IF(E117="",0,IF(E117*0.01&lt;230.5,230.5,IF(E117*0.01&gt;1021.06,1021.06,E117*0.01))))</f>
        <v>0</v>
      </c>
      <c r="G117" s="452"/>
      <c r="H117" s="452"/>
      <c r="I117" s="452"/>
      <c r="J117" s="452"/>
      <c r="K117" s="452"/>
      <c r="L117" s="452"/>
      <c r="M117" s="452"/>
    </row>
    <row r="118" spans="1:13" ht="6.75" customHeight="1" x14ac:dyDescent="0.2">
      <c r="A118" s="6"/>
      <c r="B118" s="30"/>
      <c r="C118" s="12"/>
      <c r="D118" s="12"/>
      <c r="E118" s="7"/>
      <c r="F118" s="25"/>
      <c r="G118" s="452"/>
      <c r="H118" s="452"/>
      <c r="I118" s="452"/>
      <c r="J118" s="452"/>
      <c r="K118" s="452"/>
      <c r="L118" s="452"/>
      <c r="M118" s="452"/>
    </row>
    <row r="119" spans="1:13" ht="25.5" x14ac:dyDescent="0.2">
      <c r="A119" s="6"/>
      <c r="B119" s="26" t="s">
        <v>57</v>
      </c>
      <c r="C119" s="281"/>
      <c r="D119" s="281"/>
      <c r="E119" s="27"/>
      <c r="F119" s="28">
        <f ca="1">IF(Q4=0,"Bloqueado",IF(E119="",0,E119*62.57))</f>
        <v>0</v>
      </c>
      <c r="G119" s="452"/>
      <c r="H119" s="452"/>
      <c r="I119" s="452"/>
      <c r="J119" s="452"/>
      <c r="K119" s="452"/>
      <c r="L119" s="452"/>
      <c r="M119" s="452"/>
    </row>
    <row r="120" spans="1:13" ht="8.25" customHeight="1" x14ac:dyDescent="0.2">
      <c r="A120" s="6"/>
      <c r="B120" s="30"/>
      <c r="C120" s="12"/>
      <c r="D120" s="12"/>
      <c r="E120" s="7"/>
      <c r="F120" s="25"/>
      <c r="G120" s="452"/>
      <c r="H120" s="452"/>
      <c r="I120" s="452"/>
      <c r="J120" s="452"/>
      <c r="K120" s="452"/>
      <c r="L120" s="452"/>
      <c r="M120" s="452"/>
    </row>
    <row r="121" spans="1:13" ht="37.5" customHeight="1" x14ac:dyDescent="0.2">
      <c r="A121" s="6"/>
      <c r="B121" s="355" t="s">
        <v>58</v>
      </c>
      <c r="C121" s="12"/>
      <c r="D121" s="12"/>
      <c r="E121" s="27"/>
      <c r="F121" s="356">
        <f ca="1">IF(Q4=0,"Bloqueado",IF(E121="",0,E121*289.92))</f>
        <v>0</v>
      </c>
      <c r="G121" s="452"/>
      <c r="H121" s="452"/>
      <c r="I121" s="452"/>
      <c r="J121" s="452"/>
      <c r="K121" s="452"/>
      <c r="L121" s="452"/>
      <c r="M121" s="452"/>
    </row>
    <row r="122" spans="1:13" ht="9" customHeight="1" x14ac:dyDescent="0.2">
      <c r="A122" s="6"/>
      <c r="B122" s="30"/>
      <c r="C122" s="12"/>
      <c r="D122" s="12"/>
      <c r="E122" s="7"/>
      <c r="F122" s="25"/>
      <c r="G122" s="452"/>
      <c r="H122" s="452"/>
      <c r="I122" s="452"/>
      <c r="J122" s="452"/>
      <c r="K122" s="452"/>
      <c r="L122" s="452"/>
      <c r="M122" s="452"/>
    </row>
    <row r="123" spans="1:13" ht="12.75" customHeight="1" x14ac:dyDescent="0.2">
      <c r="A123" s="6"/>
      <c r="B123" s="24" t="s">
        <v>59</v>
      </c>
      <c r="C123" s="456"/>
      <c r="D123" s="456"/>
      <c r="E123" s="20"/>
      <c r="F123" s="25">
        <f ca="1">IF(Q4=0,"Bloqueado",IF(E123="",0,E123*289.92))</f>
        <v>0</v>
      </c>
      <c r="G123" s="452"/>
      <c r="H123" s="452"/>
      <c r="I123" s="452"/>
      <c r="J123" s="452"/>
      <c r="K123" s="452"/>
      <c r="L123" s="452"/>
      <c r="M123" s="452"/>
    </row>
    <row r="124" spans="1:13" ht="6.75" customHeight="1" x14ac:dyDescent="0.2">
      <c r="A124" s="6"/>
      <c r="B124" s="30"/>
      <c r="C124" s="12"/>
      <c r="D124" s="12"/>
      <c r="E124" s="7"/>
      <c r="F124" s="25"/>
      <c r="G124" s="452"/>
      <c r="H124" s="452"/>
      <c r="I124" s="452"/>
      <c r="J124" s="452"/>
      <c r="K124" s="452"/>
      <c r="L124" s="452"/>
      <c r="M124" s="452"/>
    </row>
    <row r="125" spans="1:13" ht="12.75" customHeight="1" x14ac:dyDescent="0.2">
      <c r="A125" s="6"/>
      <c r="B125" s="24" t="s">
        <v>60</v>
      </c>
      <c r="C125" s="456"/>
      <c r="D125" s="456"/>
      <c r="E125" s="20"/>
      <c r="F125" s="25">
        <f ca="1">IF(Q4=0,"Bloqueado",IF(E125="",0,E125*220.61))</f>
        <v>0</v>
      </c>
      <c r="G125" s="452"/>
      <c r="H125" s="452"/>
      <c r="I125" s="452"/>
      <c r="J125" s="452"/>
      <c r="K125" s="452"/>
      <c r="L125" s="452"/>
      <c r="M125" s="452"/>
    </row>
    <row r="126" spans="1:13" ht="6.75" customHeight="1" x14ac:dyDescent="0.2">
      <c r="A126" s="6"/>
      <c r="B126" s="24"/>
      <c r="C126" s="456"/>
      <c r="D126" s="456"/>
      <c r="E126" s="7"/>
      <c r="F126" s="25"/>
      <c r="G126" s="452"/>
      <c r="H126" s="452"/>
      <c r="I126" s="452"/>
      <c r="J126" s="452"/>
      <c r="K126" s="452"/>
      <c r="L126" s="452"/>
      <c r="M126" s="452"/>
    </row>
    <row r="127" spans="1:13" ht="12.75" customHeight="1" x14ac:dyDescent="0.2">
      <c r="A127" s="6"/>
      <c r="B127" s="24" t="s">
        <v>61</v>
      </c>
      <c r="C127" s="456"/>
      <c r="D127" s="456"/>
      <c r="E127" s="20"/>
      <c r="F127" s="25">
        <f ca="1">IF(Q4=0,"Bloqueado",IF(E127="",0,E127*154.79))</f>
        <v>0</v>
      </c>
      <c r="G127" s="512"/>
      <c r="H127" s="512"/>
      <c r="I127" s="512"/>
      <c r="J127" s="512"/>
      <c r="K127" s="512"/>
      <c r="L127" s="512"/>
      <c r="M127" s="452"/>
    </row>
    <row r="128" spans="1:13" ht="6.75" customHeight="1" x14ac:dyDescent="0.2">
      <c r="A128" s="6"/>
      <c r="B128" s="24"/>
      <c r="C128" s="456"/>
      <c r="D128" s="456"/>
      <c r="E128" s="7"/>
      <c r="F128" s="25"/>
      <c r="G128" s="452"/>
      <c r="H128" s="452"/>
      <c r="I128" s="452"/>
      <c r="J128" s="452"/>
      <c r="K128" s="452"/>
      <c r="L128" s="452"/>
      <c r="M128" s="452"/>
    </row>
    <row r="129" spans="1:19" ht="12.75" customHeight="1" x14ac:dyDescent="0.2">
      <c r="A129" s="6"/>
      <c r="B129" s="24" t="s">
        <v>62</v>
      </c>
      <c r="C129" s="456"/>
      <c r="D129" s="456"/>
      <c r="E129" s="20"/>
      <c r="F129" s="25">
        <f ca="1">IF(Q4=0,"Bloqueado",IF(E129="",0,E129*79.01))</f>
        <v>0</v>
      </c>
      <c r="G129" s="452"/>
      <c r="H129" s="452"/>
      <c r="I129" s="452"/>
      <c r="J129" s="452"/>
      <c r="K129" s="452"/>
      <c r="L129" s="452"/>
      <c r="M129" s="452"/>
    </row>
    <row r="130" spans="1:19" ht="6.75" customHeight="1" x14ac:dyDescent="0.2">
      <c r="A130" s="6"/>
      <c r="B130" s="24"/>
      <c r="C130" s="456"/>
      <c r="D130" s="456"/>
      <c r="E130" s="7"/>
      <c r="F130" s="25"/>
      <c r="G130" s="452"/>
      <c r="H130" s="452"/>
      <c r="I130" s="452"/>
      <c r="J130" s="452"/>
      <c r="K130" s="452"/>
      <c r="L130" s="452"/>
      <c r="M130" s="452"/>
    </row>
    <row r="131" spans="1:19" ht="12.75" customHeight="1" x14ac:dyDescent="0.2">
      <c r="A131" s="6"/>
      <c r="B131" s="30" t="s">
        <v>63</v>
      </c>
      <c r="C131" s="12"/>
      <c r="D131" s="12"/>
      <c r="E131" s="7"/>
      <c r="F131" s="25"/>
      <c r="G131" s="452"/>
      <c r="H131" s="452"/>
      <c r="I131" s="452"/>
      <c r="J131" s="452"/>
      <c r="K131" s="452"/>
      <c r="L131" s="452"/>
      <c r="M131" s="452"/>
    </row>
    <row r="132" spans="1:19" ht="6.75" customHeight="1" x14ac:dyDescent="0.2">
      <c r="A132" s="6"/>
      <c r="B132" s="30"/>
      <c r="C132" s="12"/>
      <c r="D132" s="12"/>
      <c r="E132" s="7"/>
      <c r="F132" s="25"/>
      <c r="G132" s="452"/>
      <c r="H132" s="452"/>
      <c r="I132" s="452"/>
      <c r="J132" s="452"/>
      <c r="K132" s="452"/>
      <c r="L132" s="452"/>
      <c r="M132" s="452"/>
    </row>
    <row r="133" spans="1:19" ht="39.75" customHeight="1" x14ac:dyDescent="0.2">
      <c r="A133" s="6"/>
      <c r="B133" s="26" t="s">
        <v>64</v>
      </c>
      <c r="C133" s="281"/>
      <c r="D133" s="281"/>
      <c r="E133" s="27"/>
      <c r="F133" s="28">
        <f ca="1">IF(Q4=0,"Bloqueado",IF(E133="",0,E133*79.01))</f>
        <v>0</v>
      </c>
      <c r="G133" s="452"/>
      <c r="H133" s="452"/>
      <c r="I133" s="452"/>
      <c r="J133" s="452"/>
      <c r="K133" s="452"/>
      <c r="L133" s="452"/>
      <c r="M133" s="452"/>
    </row>
    <row r="134" spans="1:19" ht="6.75" customHeight="1" x14ac:dyDescent="0.2">
      <c r="A134" s="6"/>
      <c r="B134" s="30"/>
      <c r="C134" s="12"/>
      <c r="D134" s="12"/>
      <c r="E134" s="7"/>
      <c r="F134" s="25"/>
      <c r="G134" s="452"/>
      <c r="H134" s="452"/>
      <c r="I134" s="452"/>
      <c r="J134" s="452"/>
      <c r="K134" s="452"/>
      <c r="L134" s="452"/>
      <c r="M134" s="452"/>
    </row>
    <row r="135" spans="1:19" ht="38.25" x14ac:dyDescent="0.2">
      <c r="A135" s="6"/>
      <c r="B135" s="355" t="s">
        <v>65</v>
      </c>
      <c r="C135" s="456"/>
      <c r="D135" s="456"/>
      <c r="E135" s="27"/>
      <c r="F135" s="356">
        <f ca="1">IF(Q4=0,"Bloqueado",IF(E135="",0,E135*79.01))</f>
        <v>0</v>
      </c>
      <c r="G135" s="452"/>
      <c r="H135" s="452"/>
      <c r="I135" s="452"/>
      <c r="J135" s="452"/>
      <c r="K135" s="452"/>
      <c r="L135" s="452"/>
      <c r="M135" s="452"/>
    </row>
    <row r="136" spans="1:19" ht="6.75" customHeight="1" x14ac:dyDescent="0.2">
      <c r="A136" s="6"/>
      <c r="B136" s="30"/>
      <c r="C136" s="12"/>
      <c r="D136" s="12"/>
      <c r="E136" s="31"/>
      <c r="F136" s="25"/>
      <c r="G136" s="452"/>
      <c r="H136" s="452"/>
      <c r="I136" s="452"/>
      <c r="J136" s="452"/>
      <c r="K136" s="452"/>
      <c r="L136" s="452"/>
      <c r="M136" s="452"/>
    </row>
    <row r="137" spans="1:19" ht="38.25" x14ac:dyDescent="0.2">
      <c r="A137" s="6"/>
      <c r="B137" s="26" t="s">
        <v>66</v>
      </c>
      <c r="C137" s="281"/>
      <c r="D137" s="281"/>
      <c r="E137" s="27"/>
      <c r="F137" s="28">
        <f ca="1">IF(Q4=0,"Bloqueado",IF(E137="",0,E137*209.88))</f>
        <v>0</v>
      </c>
      <c r="G137" s="452"/>
      <c r="H137" s="452"/>
      <c r="I137" s="452"/>
      <c r="J137" s="452"/>
      <c r="K137" s="452"/>
      <c r="L137" s="452"/>
      <c r="M137" s="452"/>
    </row>
    <row r="138" spans="1:19" ht="6.75" customHeight="1" x14ac:dyDescent="0.2">
      <c r="A138" s="6"/>
      <c r="B138" s="30"/>
      <c r="C138" s="12"/>
      <c r="D138" s="12"/>
      <c r="E138" s="31"/>
      <c r="F138" s="28"/>
      <c r="G138" s="452"/>
      <c r="H138" s="452"/>
      <c r="I138" s="452"/>
      <c r="J138" s="452"/>
      <c r="K138" s="452"/>
      <c r="L138" s="452"/>
      <c r="M138" s="452"/>
    </row>
    <row r="139" spans="1:19" ht="12.75" customHeight="1" x14ac:dyDescent="0.2">
      <c r="A139" s="6"/>
      <c r="B139" s="24" t="s">
        <v>67</v>
      </c>
      <c r="C139" s="456"/>
      <c r="D139" s="456"/>
      <c r="E139" s="27"/>
      <c r="F139" s="28">
        <f ca="1">IF(Q4=0,"Bloqueado",IF(E139="",0,E139*79.01))</f>
        <v>0</v>
      </c>
      <c r="G139" s="452"/>
      <c r="H139" s="452"/>
      <c r="I139" s="452"/>
      <c r="J139" s="452"/>
      <c r="K139" s="452"/>
      <c r="L139" s="452"/>
      <c r="M139" s="452"/>
    </row>
    <row r="140" spans="1:19" ht="6.75" customHeight="1" x14ac:dyDescent="0.2">
      <c r="A140" s="6"/>
      <c r="B140" s="30"/>
      <c r="C140" s="12"/>
      <c r="D140" s="12"/>
      <c r="E140" s="31"/>
      <c r="F140" s="28"/>
      <c r="G140" s="454"/>
      <c r="H140" s="454"/>
      <c r="I140" s="454"/>
      <c r="J140" s="454"/>
      <c r="K140" s="454"/>
      <c r="L140" s="454"/>
      <c r="M140" s="454"/>
      <c r="Q140" s="32"/>
      <c r="R140" s="32"/>
      <c r="S140" s="32"/>
    </row>
    <row r="141" spans="1:19" ht="25.5" x14ac:dyDescent="0.2">
      <c r="A141" s="6"/>
      <c r="B141" s="33" t="s">
        <v>68</v>
      </c>
      <c r="C141" s="280"/>
      <c r="D141" s="280"/>
      <c r="E141" s="27"/>
      <c r="F141" s="28">
        <f ca="1">IF(Q4=0,"Bloqueado",IF(E141=0,0,E141*39.48))</f>
        <v>0</v>
      </c>
      <c r="G141" s="454"/>
      <c r="H141" s="454"/>
      <c r="I141" s="454"/>
      <c r="J141" s="454"/>
      <c r="K141" s="454"/>
      <c r="L141" s="454"/>
      <c r="M141" s="454"/>
      <c r="Q141" s="32"/>
      <c r="R141" s="32"/>
      <c r="S141" s="32"/>
    </row>
    <row r="142" spans="1:19" ht="6.75" customHeight="1" x14ac:dyDescent="0.2">
      <c r="A142" s="6"/>
      <c r="B142" s="18"/>
      <c r="C142" s="50"/>
      <c r="D142" s="50"/>
      <c r="E142" s="31"/>
      <c r="F142" s="28"/>
      <c r="G142" s="454"/>
      <c r="H142" s="454"/>
      <c r="I142" s="454"/>
      <c r="J142" s="454"/>
      <c r="K142" s="454"/>
      <c r="L142" s="454"/>
      <c r="M142" s="454"/>
      <c r="Q142" s="32"/>
      <c r="R142" s="32"/>
      <c r="S142" s="32"/>
    </row>
    <row r="143" spans="1:19" ht="12.75" customHeight="1" x14ac:dyDescent="0.2">
      <c r="A143" s="6"/>
      <c r="B143" s="22" t="s">
        <v>69</v>
      </c>
      <c r="C143" s="131"/>
      <c r="D143" s="131"/>
      <c r="E143" s="27"/>
      <c r="F143" s="28">
        <f ca="1">IF(Q4=0,"Bloqueado",IF(E143=0,0,E143*79.01))</f>
        <v>0</v>
      </c>
      <c r="G143" s="454"/>
      <c r="H143" s="454"/>
      <c r="I143" s="454"/>
      <c r="J143" s="454"/>
      <c r="K143" s="454"/>
      <c r="L143" s="454"/>
      <c r="M143" s="454"/>
      <c r="Q143" s="32"/>
      <c r="R143" s="32"/>
      <c r="S143" s="32"/>
    </row>
    <row r="144" spans="1:19" ht="6.75" customHeight="1" x14ac:dyDescent="0.2">
      <c r="A144" s="6"/>
      <c r="B144" s="18"/>
      <c r="C144" s="50"/>
      <c r="D144" s="50"/>
      <c r="E144" s="31"/>
      <c r="F144" s="28"/>
      <c r="G144" s="454"/>
      <c r="H144" s="454"/>
      <c r="I144" s="454"/>
      <c r="J144" s="454"/>
      <c r="K144" s="454"/>
      <c r="L144" s="454"/>
      <c r="M144" s="454"/>
      <c r="Q144" s="32"/>
      <c r="R144" s="32"/>
      <c r="S144" s="32"/>
    </row>
    <row r="145" spans="1:19" ht="12.75" customHeight="1" x14ac:dyDescent="0.2">
      <c r="A145" s="6"/>
      <c r="B145" s="22" t="s">
        <v>70</v>
      </c>
      <c r="C145" s="131"/>
      <c r="D145" s="131"/>
      <c r="E145" s="27"/>
      <c r="F145" s="28">
        <f ca="1">IF(Q4=0,"Bloqueado",IF(E145=0,0,E145*32.9))</f>
        <v>0</v>
      </c>
      <c r="G145" s="454"/>
      <c r="H145" s="454"/>
      <c r="I145" s="454"/>
      <c r="J145" s="454"/>
      <c r="K145" s="454"/>
      <c r="L145" s="454"/>
      <c r="M145" s="454"/>
      <c r="Q145" s="32"/>
      <c r="R145" s="32"/>
      <c r="S145" s="32"/>
    </row>
    <row r="146" spans="1:19" ht="6.75" customHeight="1" x14ac:dyDescent="0.2">
      <c r="A146" s="6"/>
      <c r="B146" s="18"/>
      <c r="C146" s="50"/>
      <c r="D146" s="50"/>
      <c r="E146" s="31"/>
      <c r="F146" s="28"/>
      <c r="G146" s="454"/>
      <c r="H146" s="454"/>
      <c r="I146" s="454"/>
      <c r="J146" s="454"/>
      <c r="K146" s="454"/>
      <c r="L146" s="454"/>
      <c r="M146" s="454"/>
      <c r="Q146" s="32"/>
      <c r="R146" s="32"/>
      <c r="S146" s="32"/>
    </row>
    <row r="147" spans="1:19" ht="12.75" customHeight="1" x14ac:dyDescent="0.2">
      <c r="A147" s="6"/>
      <c r="B147" s="22" t="s">
        <v>71</v>
      </c>
      <c r="C147" s="131"/>
      <c r="D147" s="131"/>
      <c r="E147" s="27"/>
      <c r="F147" s="28">
        <f ca="1">IF(Q4=0,"Bloqueado",IF(E147="",0,E147*72.43))</f>
        <v>0</v>
      </c>
      <c r="G147" s="454"/>
      <c r="H147" s="454"/>
      <c r="I147" s="454"/>
      <c r="J147" s="454"/>
      <c r="K147" s="454"/>
      <c r="L147" s="454"/>
      <c r="M147" s="454"/>
      <c r="Q147" s="32"/>
      <c r="R147" s="32"/>
      <c r="S147" s="32"/>
    </row>
    <row r="148" spans="1:19" ht="6.75" customHeight="1" x14ac:dyDescent="0.2">
      <c r="A148" s="6"/>
      <c r="B148" s="18"/>
      <c r="C148" s="50"/>
      <c r="D148" s="50"/>
      <c r="E148" s="31"/>
      <c r="F148" s="28"/>
      <c r="G148" s="454"/>
      <c r="H148" s="454"/>
      <c r="I148" s="454"/>
      <c r="J148" s="454"/>
      <c r="K148" s="454"/>
      <c r="L148" s="454"/>
      <c r="M148" s="454"/>
      <c r="Q148" s="32"/>
      <c r="R148" s="32"/>
      <c r="S148" s="32"/>
    </row>
    <row r="149" spans="1:19" x14ac:dyDescent="0.2">
      <c r="A149" s="6"/>
      <c r="B149" s="22" t="s">
        <v>72</v>
      </c>
      <c r="C149" s="50"/>
      <c r="D149" s="50"/>
      <c r="E149" s="27"/>
      <c r="F149" s="28">
        <f ca="1">IF(Q4=0,"Bloqueado",IF(E149=0,0,E149*79.01))</f>
        <v>0</v>
      </c>
      <c r="G149" s="454"/>
      <c r="H149" s="454"/>
      <c r="I149" s="454"/>
      <c r="J149" s="454"/>
      <c r="K149" s="454"/>
      <c r="L149" s="454"/>
      <c r="M149" s="454"/>
      <c r="Q149" s="32"/>
      <c r="R149" s="32"/>
      <c r="S149" s="32"/>
    </row>
    <row r="150" spans="1:19" ht="6.75" customHeight="1" x14ac:dyDescent="0.2">
      <c r="A150" s="6"/>
      <c r="B150" s="18"/>
      <c r="C150" s="50"/>
      <c r="D150" s="50"/>
      <c r="E150" s="31"/>
      <c r="F150" s="28"/>
      <c r="G150" s="454"/>
      <c r="H150" s="454"/>
      <c r="I150" s="454"/>
      <c r="J150" s="454"/>
      <c r="K150" s="454"/>
      <c r="L150" s="454"/>
      <c r="M150" s="454"/>
      <c r="Q150" s="32"/>
      <c r="R150" s="32"/>
      <c r="S150" s="32"/>
    </row>
    <row r="151" spans="1:19" ht="12.75" customHeight="1" x14ac:dyDescent="0.2">
      <c r="A151" s="6"/>
      <c r="B151" s="18" t="s">
        <v>73</v>
      </c>
      <c r="C151" s="50"/>
      <c r="D151" s="50"/>
      <c r="E151" s="31"/>
      <c r="F151" s="28"/>
      <c r="G151" s="454"/>
      <c r="H151" s="454"/>
      <c r="I151" s="454"/>
      <c r="J151" s="454"/>
      <c r="K151" s="454"/>
      <c r="L151" s="454"/>
      <c r="M151" s="454"/>
      <c r="Q151" s="32"/>
      <c r="R151" s="32"/>
      <c r="S151" s="32"/>
    </row>
    <row r="152" spans="1:19" ht="6.75" customHeight="1" x14ac:dyDescent="0.2">
      <c r="A152" s="6"/>
      <c r="B152" s="18"/>
      <c r="C152" s="50"/>
      <c r="D152" s="50"/>
      <c r="E152" s="31"/>
      <c r="F152" s="28"/>
      <c r="G152" s="454"/>
      <c r="H152" s="454"/>
      <c r="I152" s="454"/>
      <c r="J152" s="454"/>
      <c r="K152" s="454"/>
      <c r="L152" s="454"/>
      <c r="M152" s="454"/>
      <c r="Q152" s="32"/>
      <c r="R152" s="32"/>
      <c r="S152" s="32"/>
    </row>
    <row r="153" spans="1:19" ht="12.75" customHeight="1" x14ac:dyDescent="0.2">
      <c r="A153" s="6"/>
      <c r="B153" s="22" t="s">
        <v>74</v>
      </c>
      <c r="C153" s="131"/>
      <c r="D153" s="131"/>
      <c r="E153" s="31"/>
      <c r="F153" s="28"/>
      <c r="G153" s="454"/>
      <c r="H153" s="454"/>
      <c r="I153" s="454"/>
      <c r="J153" s="454"/>
      <c r="K153" s="454"/>
      <c r="L153" s="454"/>
      <c r="M153" s="454"/>
      <c r="Q153" s="32"/>
      <c r="R153" s="32"/>
      <c r="S153" s="32"/>
    </row>
    <row r="154" spans="1:19" ht="6.75" customHeight="1" x14ac:dyDescent="0.2">
      <c r="A154" s="6"/>
      <c r="B154" s="22"/>
      <c r="C154" s="131"/>
      <c r="D154" s="131"/>
      <c r="E154" s="31"/>
      <c r="F154" s="28"/>
      <c r="G154" s="454"/>
      <c r="H154" s="454"/>
      <c r="I154" s="454"/>
      <c r="J154" s="454"/>
      <c r="K154" s="454"/>
      <c r="L154" s="454"/>
      <c r="M154" s="454"/>
      <c r="Q154" s="32"/>
      <c r="R154" s="32"/>
      <c r="S154" s="32"/>
    </row>
    <row r="155" spans="1:19" ht="39" x14ac:dyDescent="0.2">
      <c r="A155" s="6"/>
      <c r="B155" s="329" t="s">
        <v>75</v>
      </c>
      <c r="C155" s="280"/>
      <c r="D155" s="280"/>
      <c r="E155" s="27"/>
      <c r="F155" s="28">
        <f ca="1">IF(Q4=0,"Bloqueado",IF(E155="",0,E155*19.73))</f>
        <v>0</v>
      </c>
      <c r="G155" s="454"/>
      <c r="H155" s="454"/>
      <c r="I155" s="454"/>
      <c r="J155" s="454"/>
      <c r="K155" s="454"/>
      <c r="L155" s="454"/>
      <c r="M155" s="454"/>
      <c r="Q155" s="32"/>
      <c r="R155" s="32"/>
      <c r="S155" s="32"/>
    </row>
    <row r="156" spans="1:19" ht="6.75" customHeight="1" x14ac:dyDescent="0.2">
      <c r="A156" s="6"/>
      <c r="B156" s="22"/>
      <c r="C156" s="131"/>
      <c r="D156" s="131"/>
      <c r="E156" s="31"/>
      <c r="F156" s="28"/>
      <c r="G156" s="454"/>
      <c r="H156" s="454"/>
      <c r="I156" s="454"/>
      <c r="J156" s="454"/>
      <c r="K156" s="454"/>
      <c r="L156" s="454"/>
      <c r="M156" s="454"/>
      <c r="Q156" s="32"/>
      <c r="R156" s="32"/>
      <c r="S156" s="32"/>
    </row>
    <row r="157" spans="1:19" ht="25.5" x14ac:dyDescent="0.2">
      <c r="A157" s="6"/>
      <c r="B157" s="33" t="s">
        <v>76</v>
      </c>
      <c r="C157" s="280"/>
      <c r="D157" s="280"/>
      <c r="E157" s="31"/>
      <c r="F157" s="28"/>
      <c r="G157" s="454"/>
      <c r="H157" s="454"/>
      <c r="I157" s="454"/>
      <c r="J157" s="454"/>
      <c r="K157" s="454"/>
      <c r="L157" s="454"/>
      <c r="M157" s="454"/>
      <c r="Q157" s="32"/>
      <c r="R157" s="32"/>
      <c r="S157" s="32"/>
    </row>
    <row r="158" spans="1:19" ht="6.75" customHeight="1" x14ac:dyDescent="0.2">
      <c r="A158" s="6"/>
      <c r="B158" s="22"/>
      <c r="C158" s="131"/>
      <c r="D158" s="131"/>
      <c r="E158" s="31"/>
      <c r="F158" s="28"/>
      <c r="G158" s="454"/>
      <c r="H158" s="454"/>
      <c r="I158" s="454"/>
      <c r="J158" s="454"/>
      <c r="K158" s="454"/>
      <c r="L158" s="454"/>
      <c r="M158" s="454"/>
      <c r="Q158" s="32"/>
      <c r="R158" s="32"/>
      <c r="S158" s="32"/>
    </row>
    <row r="159" spans="1:19" ht="12.75" customHeight="1" x14ac:dyDescent="0.2">
      <c r="A159" s="6"/>
      <c r="B159" s="22" t="s">
        <v>77</v>
      </c>
      <c r="C159" s="131"/>
      <c r="D159" s="131"/>
      <c r="E159" s="27"/>
      <c r="F159" s="28">
        <f ca="1">IF(Q4=0,"Bloqueado",IF(E159="",0,36.15+(E159*36.15)))</f>
        <v>0</v>
      </c>
      <c r="G159" s="452"/>
      <c r="H159" s="454"/>
      <c r="I159" s="454"/>
      <c r="J159" s="454"/>
      <c r="K159" s="454"/>
      <c r="L159" s="454"/>
      <c r="M159" s="454"/>
      <c r="Q159" s="32"/>
      <c r="R159" s="32"/>
      <c r="S159" s="32"/>
    </row>
    <row r="160" spans="1:19" ht="6.75" customHeight="1" x14ac:dyDescent="0.2">
      <c r="A160" s="6"/>
      <c r="B160" s="22"/>
      <c r="C160" s="131"/>
      <c r="D160" s="131"/>
      <c r="E160" s="31"/>
      <c r="F160" s="28"/>
      <c r="G160" s="452"/>
      <c r="H160" s="454"/>
      <c r="I160" s="454"/>
      <c r="J160" s="454"/>
      <c r="K160" s="454"/>
      <c r="L160" s="454"/>
      <c r="M160" s="454"/>
      <c r="Q160" s="32"/>
      <c r="R160" s="32"/>
      <c r="S160" s="32"/>
    </row>
    <row r="161" spans="1:19" ht="12.75" customHeight="1" x14ac:dyDescent="0.2">
      <c r="A161" s="6"/>
      <c r="B161" s="33" t="s">
        <v>78</v>
      </c>
      <c r="C161" s="280"/>
      <c r="D161" s="280"/>
      <c r="E161" s="27"/>
      <c r="F161" s="28">
        <f ca="1">IF(Q4=0,"Bloqueado",IF(E161="",0,E161*72.43))</f>
        <v>0</v>
      </c>
      <c r="G161" s="452"/>
      <c r="H161" s="454"/>
      <c r="I161" s="454"/>
      <c r="J161" s="454"/>
      <c r="K161" s="454"/>
      <c r="L161" s="454"/>
      <c r="M161" s="454"/>
      <c r="Q161" s="32"/>
      <c r="R161" s="32"/>
      <c r="S161" s="32"/>
    </row>
    <row r="162" spans="1:19" ht="6.75" customHeight="1" x14ac:dyDescent="0.2">
      <c r="A162" s="6"/>
      <c r="B162" s="22"/>
      <c r="C162" s="131"/>
      <c r="D162" s="131"/>
      <c r="E162" s="31"/>
      <c r="F162" s="28"/>
      <c r="G162" s="452"/>
      <c r="H162" s="454"/>
      <c r="I162" s="454"/>
      <c r="J162" s="454"/>
      <c r="K162" s="454"/>
      <c r="L162" s="454"/>
      <c r="M162" s="454"/>
      <c r="Q162" s="32"/>
      <c r="R162" s="32"/>
      <c r="S162" s="32"/>
    </row>
    <row r="163" spans="1:19" ht="12.75" customHeight="1" x14ac:dyDescent="0.2">
      <c r="A163" s="6"/>
      <c r="B163" s="22" t="s">
        <v>79</v>
      </c>
      <c r="C163" s="131"/>
      <c r="D163" s="131"/>
      <c r="E163" s="27"/>
      <c r="F163" s="28">
        <f ca="1">IF(Q4=0,"Bloqueado",IF(E163="",0,IF(E163=1,16.33,16.33+((E163-1)*3.26))))</f>
        <v>0</v>
      </c>
      <c r="G163" s="452"/>
      <c r="H163" s="454"/>
      <c r="I163" s="454"/>
      <c r="J163" s="454"/>
      <c r="K163" s="454"/>
      <c r="L163" s="454"/>
      <c r="M163" s="454"/>
      <c r="Q163" s="32"/>
      <c r="R163" s="32"/>
      <c r="S163" s="32"/>
    </row>
    <row r="164" spans="1:19" ht="6.75" customHeight="1" x14ac:dyDescent="0.2">
      <c r="A164" s="6"/>
      <c r="B164" s="22"/>
      <c r="C164" s="131"/>
      <c r="D164" s="131"/>
      <c r="E164" s="31"/>
      <c r="F164" s="28"/>
      <c r="G164" s="454"/>
      <c r="H164" s="454"/>
      <c r="I164" s="454"/>
      <c r="J164" s="454"/>
      <c r="K164" s="454"/>
      <c r="L164" s="454"/>
      <c r="M164" s="454"/>
      <c r="Q164" s="32"/>
      <c r="R164" s="32"/>
      <c r="S164" s="32"/>
    </row>
    <row r="165" spans="1:19" ht="12.75" customHeight="1" x14ac:dyDescent="0.2">
      <c r="A165" s="6"/>
      <c r="B165" s="22" t="s">
        <v>80</v>
      </c>
      <c r="C165" s="131"/>
      <c r="D165" s="131"/>
      <c r="E165" s="27"/>
      <c r="F165" s="28">
        <f ca="1">IF($Q$4=0,"Bloqueado",IF(E165="",0,E165*72.43))</f>
        <v>0</v>
      </c>
      <c r="G165" s="454"/>
      <c r="H165" s="454"/>
      <c r="I165" s="454"/>
      <c r="J165" s="454"/>
      <c r="K165" s="454"/>
      <c r="L165" s="454"/>
      <c r="M165" s="454"/>
      <c r="Q165" s="32"/>
      <c r="R165" s="32"/>
      <c r="S165" s="32"/>
    </row>
    <row r="166" spans="1:19" ht="6.75" customHeight="1" x14ac:dyDescent="0.2">
      <c r="A166" s="6"/>
      <c r="B166" s="22"/>
      <c r="C166" s="131"/>
      <c r="D166" s="131"/>
      <c r="E166" s="31"/>
      <c r="F166" s="28"/>
      <c r="G166" s="454"/>
      <c r="H166" s="454"/>
      <c r="I166" s="454"/>
      <c r="J166" s="454"/>
      <c r="K166" s="454"/>
      <c r="L166" s="454"/>
      <c r="M166" s="454"/>
      <c r="Q166" s="32"/>
      <c r="R166" s="32"/>
      <c r="S166" s="32"/>
    </row>
    <row r="167" spans="1:19" ht="42.75" customHeight="1" x14ac:dyDescent="0.2">
      <c r="A167" s="6"/>
      <c r="B167" s="355" t="s">
        <v>81</v>
      </c>
      <c r="C167" s="131"/>
      <c r="D167" s="131"/>
      <c r="E167" s="27"/>
      <c r="F167" s="28">
        <f ca="1">IF($Q$4=0,"Bloqueado",IF(E167="",0,E167*3.26))</f>
        <v>0</v>
      </c>
      <c r="G167" s="454"/>
      <c r="H167" s="454"/>
      <c r="I167" s="454"/>
      <c r="J167" s="454"/>
      <c r="K167" s="454"/>
      <c r="L167" s="454"/>
      <c r="M167" s="454"/>
      <c r="Q167" s="32"/>
      <c r="R167" s="32"/>
      <c r="S167" s="32"/>
    </row>
    <row r="168" spans="1:19" ht="6.75" customHeight="1" x14ac:dyDescent="0.2">
      <c r="A168" s="6"/>
      <c r="B168" s="22"/>
      <c r="C168" s="131"/>
      <c r="D168" s="131"/>
      <c r="E168" s="31"/>
      <c r="F168" s="28"/>
      <c r="G168" s="454"/>
      <c r="H168" s="454"/>
      <c r="I168" s="454"/>
      <c r="J168" s="454"/>
      <c r="K168" s="454"/>
      <c r="L168" s="454"/>
      <c r="M168" s="454"/>
      <c r="Q168" s="32"/>
      <c r="R168" s="32"/>
      <c r="S168" s="32"/>
    </row>
    <row r="169" spans="1:19" ht="12.75" customHeight="1" x14ac:dyDescent="0.2">
      <c r="A169" s="6"/>
      <c r="B169" s="22" t="s">
        <v>82</v>
      </c>
      <c r="C169" s="131"/>
      <c r="D169" s="131"/>
      <c r="E169" s="27"/>
      <c r="F169" s="28">
        <f ca="1">IF($Q$4=0,"Bloqueado",IF(E169="",0,IF(E169*0.01&lt;72.43,72.43,IF(E169*0.01&gt;329.42,329.42,E169*0.01))))</f>
        <v>0</v>
      </c>
      <c r="G169" s="454"/>
      <c r="H169" s="454"/>
      <c r="I169" s="454"/>
      <c r="J169" s="454"/>
      <c r="K169" s="454"/>
      <c r="L169" s="454"/>
      <c r="M169" s="454"/>
      <c r="Q169" s="32"/>
      <c r="R169" s="32"/>
      <c r="S169" s="32"/>
    </row>
    <row r="170" spans="1:19" ht="6.75" customHeight="1" x14ac:dyDescent="0.2">
      <c r="A170" s="6"/>
      <c r="B170" s="22"/>
      <c r="C170" s="131"/>
      <c r="D170" s="131"/>
      <c r="E170" s="31"/>
      <c r="F170" s="28"/>
      <c r="G170" s="454"/>
      <c r="H170" s="454"/>
      <c r="I170" s="454"/>
      <c r="J170" s="454"/>
      <c r="K170" s="454"/>
      <c r="L170" s="454"/>
      <c r="M170" s="454"/>
      <c r="Q170" s="32"/>
      <c r="R170" s="32"/>
      <c r="S170" s="32"/>
    </row>
    <row r="171" spans="1:19" ht="12.75" customHeight="1" x14ac:dyDescent="0.2">
      <c r="A171" s="6"/>
      <c r="B171" s="22" t="s">
        <v>83</v>
      </c>
      <c r="C171" s="131"/>
      <c r="D171" s="131"/>
      <c r="E171" s="31"/>
      <c r="F171" s="28"/>
      <c r="G171" s="454"/>
      <c r="H171" s="454"/>
      <c r="I171" s="454"/>
      <c r="J171" s="454"/>
      <c r="K171" s="454"/>
      <c r="L171" s="454"/>
      <c r="M171" s="454"/>
      <c r="Q171" s="32"/>
      <c r="R171" s="32"/>
      <c r="S171" s="32"/>
    </row>
    <row r="172" spans="1:19" ht="6.75" customHeight="1" x14ac:dyDescent="0.2">
      <c r="A172" s="6"/>
      <c r="B172" s="22"/>
      <c r="C172" s="131"/>
      <c r="D172" s="131"/>
      <c r="E172" s="31"/>
      <c r="F172" s="28"/>
      <c r="G172" s="454"/>
      <c r="H172" s="454"/>
      <c r="I172" s="454"/>
      <c r="J172" s="454"/>
      <c r="K172" s="454"/>
      <c r="L172" s="454"/>
      <c r="M172" s="454"/>
      <c r="Q172" s="32"/>
      <c r="R172" s="32"/>
      <c r="S172" s="32"/>
    </row>
    <row r="173" spans="1:19" ht="12.75" customHeight="1" x14ac:dyDescent="0.2">
      <c r="A173" s="6"/>
      <c r="B173" s="22" t="s">
        <v>84</v>
      </c>
      <c r="C173" s="131"/>
      <c r="D173" s="131"/>
      <c r="E173" s="27"/>
      <c r="F173" s="28">
        <f ca="1">IF($Q$4=0,"Bloqueado",IF(E173="",0,E173*32.9))</f>
        <v>0</v>
      </c>
      <c r="G173" s="454"/>
      <c r="H173" s="454"/>
      <c r="I173" s="454"/>
      <c r="J173" s="454"/>
      <c r="K173" s="454"/>
      <c r="L173" s="454"/>
      <c r="M173" s="454"/>
      <c r="Q173" s="32"/>
      <c r="R173" s="32"/>
      <c r="S173" s="32"/>
    </row>
    <row r="174" spans="1:19" ht="6.75" customHeight="1" x14ac:dyDescent="0.2">
      <c r="A174" s="6"/>
      <c r="B174" s="22"/>
      <c r="C174" s="131"/>
      <c r="D174" s="131"/>
      <c r="E174" s="31"/>
      <c r="F174" s="28"/>
      <c r="G174" s="454"/>
      <c r="H174" s="454"/>
      <c r="I174" s="454"/>
      <c r="J174" s="454"/>
      <c r="K174" s="454"/>
      <c r="L174" s="454"/>
      <c r="M174" s="454"/>
      <c r="Q174" s="32"/>
      <c r="R174" s="32"/>
      <c r="S174" s="32"/>
    </row>
    <row r="175" spans="1:19" ht="12.75" customHeight="1" x14ac:dyDescent="0.2">
      <c r="A175" s="6"/>
      <c r="B175" s="22" t="s">
        <v>85</v>
      </c>
      <c r="C175" s="131"/>
      <c r="D175" s="131"/>
      <c r="E175" s="27"/>
      <c r="F175" s="28">
        <f ca="1">IF($Q$4=0,"Bloqueado",IF(E175="",0,E175*138.29))</f>
        <v>0</v>
      </c>
      <c r="G175" s="454"/>
      <c r="H175" s="454"/>
      <c r="I175" s="454"/>
      <c r="J175" s="454"/>
      <c r="K175" s="454"/>
      <c r="L175" s="454"/>
      <c r="M175" s="454"/>
      <c r="Q175" s="32"/>
      <c r="R175" s="32"/>
      <c r="S175" s="32"/>
    </row>
    <row r="176" spans="1:19" ht="6.75" customHeight="1" x14ac:dyDescent="0.2">
      <c r="A176" s="6"/>
      <c r="B176" s="22"/>
      <c r="C176" s="131"/>
      <c r="D176" s="131"/>
      <c r="E176" s="31"/>
      <c r="F176" s="28"/>
      <c r="G176" s="454"/>
      <c r="H176" s="454"/>
      <c r="I176" s="454"/>
      <c r="J176" s="454"/>
      <c r="K176" s="454"/>
      <c r="L176" s="454"/>
      <c r="M176" s="454"/>
      <c r="Q176" s="32"/>
      <c r="R176" s="32"/>
      <c r="S176" s="32"/>
    </row>
    <row r="177" spans="1:19" ht="12.75" customHeight="1" x14ac:dyDescent="0.2">
      <c r="A177" s="6"/>
      <c r="B177" s="22" t="s">
        <v>86</v>
      </c>
      <c r="C177" s="131"/>
      <c r="D177" s="131"/>
      <c r="E177" s="27"/>
      <c r="F177" s="28">
        <f ca="1">IF($Q$4=0,"Bloqueado",IF(E177="",0,E177*111.95))</f>
        <v>0</v>
      </c>
      <c r="G177" s="454"/>
      <c r="H177" s="454"/>
      <c r="I177" s="454"/>
      <c r="J177" s="454"/>
      <c r="K177" s="454"/>
      <c r="L177" s="454"/>
      <c r="M177" s="454"/>
      <c r="Q177" s="32"/>
      <c r="R177" s="32"/>
      <c r="S177" s="32"/>
    </row>
    <row r="178" spans="1:19" ht="6.75" customHeight="1" x14ac:dyDescent="0.2">
      <c r="A178" s="6"/>
      <c r="B178" s="22"/>
      <c r="C178" s="131"/>
      <c r="D178" s="131"/>
      <c r="E178" s="31"/>
      <c r="F178" s="28"/>
      <c r="G178" s="454"/>
      <c r="H178" s="454"/>
      <c r="I178" s="454"/>
      <c r="J178" s="454"/>
      <c r="K178" s="454"/>
      <c r="L178" s="454"/>
      <c r="M178" s="454"/>
      <c r="Q178" s="32"/>
      <c r="R178" s="32"/>
      <c r="S178" s="32"/>
    </row>
    <row r="179" spans="1:19" ht="12.75" customHeight="1" x14ac:dyDescent="0.2">
      <c r="A179" s="6"/>
      <c r="B179" s="22" t="s">
        <v>87</v>
      </c>
      <c r="C179" s="131"/>
      <c r="D179" s="131"/>
      <c r="E179" s="27"/>
      <c r="F179" s="28">
        <f ca="1">IF($Q$4=0,"Bloqueado",IF(E179="",0,E179*16.4))</f>
        <v>0</v>
      </c>
      <c r="G179" s="454"/>
      <c r="H179" s="454"/>
      <c r="I179" s="454"/>
      <c r="J179" s="454"/>
      <c r="K179" s="454"/>
      <c r="L179" s="454"/>
      <c r="M179" s="454"/>
      <c r="Q179" s="32"/>
      <c r="R179" s="32"/>
      <c r="S179" s="32"/>
    </row>
    <row r="180" spans="1:19" ht="6.75" customHeight="1" x14ac:dyDescent="0.2">
      <c r="A180" s="6"/>
      <c r="B180" s="22"/>
      <c r="C180" s="131"/>
      <c r="D180" s="131"/>
      <c r="E180" s="31"/>
      <c r="F180" s="28"/>
      <c r="G180" s="454"/>
      <c r="H180" s="454"/>
      <c r="I180" s="454"/>
      <c r="J180" s="454"/>
      <c r="K180" s="454"/>
      <c r="L180" s="454"/>
      <c r="M180" s="454"/>
      <c r="Q180" s="32"/>
      <c r="R180" s="32"/>
      <c r="S180" s="32"/>
    </row>
    <row r="181" spans="1:19" ht="25.5" x14ac:dyDescent="0.2">
      <c r="A181" s="6"/>
      <c r="B181" s="33" t="s">
        <v>88</v>
      </c>
      <c r="C181" s="280"/>
      <c r="D181" s="280"/>
      <c r="E181" s="27"/>
      <c r="F181" s="28">
        <f ca="1">IF($Q$4=0,"Bloqueado",IF(E181="",0,E181*55.93))</f>
        <v>0</v>
      </c>
      <c r="G181" s="454"/>
      <c r="H181" s="454"/>
      <c r="I181" s="454"/>
      <c r="J181" s="454"/>
      <c r="K181" s="454"/>
      <c r="L181" s="454"/>
      <c r="M181" s="454"/>
      <c r="Q181" s="32"/>
      <c r="R181" s="32"/>
      <c r="S181" s="32"/>
    </row>
    <row r="182" spans="1:19" ht="6.75" customHeight="1" x14ac:dyDescent="0.2">
      <c r="A182" s="6"/>
      <c r="B182" s="22"/>
      <c r="C182" s="131"/>
      <c r="D182" s="131"/>
      <c r="E182" s="31"/>
      <c r="F182" s="28"/>
      <c r="G182" s="454"/>
      <c r="H182" s="454"/>
      <c r="I182" s="454"/>
      <c r="J182" s="454"/>
      <c r="K182" s="454"/>
      <c r="L182" s="454"/>
      <c r="M182" s="454"/>
      <c r="Q182" s="32"/>
      <c r="R182" s="32"/>
      <c r="S182" s="32"/>
    </row>
    <row r="183" spans="1:19" ht="16.5" customHeight="1" x14ac:dyDescent="0.2">
      <c r="A183" s="6"/>
      <c r="B183" s="33" t="s">
        <v>89</v>
      </c>
      <c r="C183" s="280"/>
      <c r="D183" s="280"/>
      <c r="E183" s="27"/>
      <c r="F183" s="28">
        <f ca="1">IF($Q$4=0,"Bloqueado",IF(E183="",0,E183*6.55))</f>
        <v>0</v>
      </c>
      <c r="G183" s="454"/>
      <c r="H183" s="454"/>
      <c r="I183" s="454"/>
      <c r="J183" s="454"/>
      <c r="K183" s="454"/>
      <c r="L183" s="454"/>
      <c r="M183" s="454"/>
      <c r="Q183" s="32"/>
      <c r="R183" s="32"/>
      <c r="S183" s="32"/>
    </row>
    <row r="184" spans="1:19" ht="7.5" customHeight="1" x14ac:dyDescent="0.2">
      <c r="A184" s="6"/>
      <c r="B184" s="33"/>
      <c r="C184" s="280"/>
      <c r="D184" s="280"/>
      <c r="E184" s="31"/>
      <c r="F184" s="28"/>
      <c r="G184" s="454"/>
      <c r="H184" s="454"/>
      <c r="I184" s="454"/>
      <c r="J184" s="454"/>
      <c r="K184" s="454"/>
      <c r="L184" s="454"/>
      <c r="M184" s="454"/>
      <c r="Q184" s="32"/>
      <c r="R184" s="32"/>
      <c r="S184" s="32"/>
    </row>
    <row r="185" spans="1:19" ht="36.75" customHeight="1" x14ac:dyDescent="0.25">
      <c r="A185" s="6"/>
      <c r="B185" s="410" t="s">
        <v>90</v>
      </c>
      <c r="C185" s="282"/>
      <c r="D185" s="409"/>
      <c r="E185" s="459"/>
      <c r="F185" s="28">
        <f ca="1">IF($Q$4=0,"Bloqueado",IF(E185="",0,E185*34.28))</f>
        <v>0</v>
      </c>
      <c r="G185" s="454"/>
      <c r="H185" s="454"/>
      <c r="I185" s="454"/>
      <c r="J185" s="454"/>
      <c r="K185" s="454"/>
      <c r="L185" s="454"/>
      <c r="M185" s="454"/>
      <c r="Q185" s="32"/>
      <c r="R185" s="32"/>
      <c r="S185" s="32"/>
    </row>
    <row r="186" spans="1:19" ht="31.5" customHeight="1" thickBot="1" x14ac:dyDescent="0.25">
      <c r="A186" s="6"/>
      <c r="B186" s="36" t="s">
        <v>91</v>
      </c>
      <c r="C186" s="283"/>
      <c r="D186" s="283"/>
      <c r="E186" s="37"/>
      <c r="F186" s="38">
        <f ca="1">IF(Q4=0,"Bloqueado",SUM(F14:F185))</f>
        <v>0</v>
      </c>
      <c r="G186" s="454"/>
      <c r="H186" s="454"/>
      <c r="I186" s="454"/>
      <c r="J186" s="454"/>
      <c r="K186" s="454"/>
      <c r="L186" s="454"/>
      <c r="M186" s="454"/>
      <c r="Q186" s="32"/>
      <c r="R186" s="32"/>
      <c r="S186" s="32"/>
    </row>
    <row r="187" spans="1:19" ht="12.75" customHeight="1" thickBot="1" x14ac:dyDescent="0.25">
      <c r="A187" s="6"/>
      <c r="B187" s="39"/>
      <c r="C187" s="39"/>
      <c r="D187" s="39"/>
      <c r="E187" s="31"/>
      <c r="F187" s="35"/>
      <c r="G187" s="454"/>
      <c r="H187" s="454"/>
      <c r="I187" s="454"/>
      <c r="J187" s="454"/>
      <c r="K187" s="454"/>
      <c r="L187" s="454"/>
      <c r="M187" s="454"/>
      <c r="Q187" s="32"/>
      <c r="R187" s="32"/>
      <c r="S187" s="32"/>
    </row>
    <row r="188" spans="1:19" ht="12.75" customHeight="1" thickBot="1" x14ac:dyDescent="0.25">
      <c r="A188" s="6"/>
      <c r="B188" s="40" t="s">
        <v>92</v>
      </c>
      <c r="C188" s="284"/>
      <c r="D188" s="284"/>
      <c r="E188" s="31"/>
      <c r="F188" s="35"/>
      <c r="G188" s="454"/>
      <c r="H188" s="454"/>
      <c r="I188" s="454"/>
      <c r="J188" s="454"/>
      <c r="K188" s="454"/>
      <c r="L188" s="454"/>
      <c r="M188" s="454"/>
      <c r="Q188" s="32"/>
      <c r="R188" s="32"/>
      <c r="S188" s="32"/>
    </row>
    <row r="189" spans="1:19" ht="26.25" thickBot="1" x14ac:dyDescent="0.25">
      <c r="A189" s="6"/>
      <c r="B189" s="41" t="s">
        <v>93</v>
      </c>
      <c r="C189" s="285"/>
      <c r="D189" s="285"/>
      <c r="E189" s="42"/>
      <c r="F189" s="43">
        <f ca="1">IF(Q4=0,"Bloqueado",IF(E189="",0,E189*32.9))</f>
        <v>0</v>
      </c>
      <c r="G189" s="454"/>
      <c r="H189" s="454"/>
      <c r="I189" s="454"/>
      <c r="J189" s="454"/>
      <c r="K189" s="454"/>
      <c r="L189" s="454"/>
      <c r="M189" s="454"/>
      <c r="Q189" s="32"/>
      <c r="R189" s="32"/>
      <c r="S189" s="32"/>
    </row>
    <row r="190" spans="1:19" ht="12.75" customHeight="1" thickBot="1" x14ac:dyDescent="0.25">
      <c r="A190" s="6"/>
      <c r="B190" s="39"/>
      <c r="C190" s="39"/>
      <c r="D190" s="39"/>
      <c r="E190" s="31"/>
      <c r="F190" s="35"/>
      <c r="G190" s="454"/>
      <c r="H190" s="454"/>
      <c r="I190" s="454"/>
      <c r="J190" s="454"/>
      <c r="K190" s="454"/>
      <c r="L190" s="454"/>
      <c r="M190" s="454"/>
      <c r="Q190" s="32"/>
      <c r="R190" s="32"/>
      <c r="S190" s="32"/>
    </row>
    <row r="191" spans="1:19" ht="13.5" thickBot="1" x14ac:dyDescent="0.25">
      <c r="A191" s="6"/>
      <c r="B191" s="13" t="s">
        <v>94</v>
      </c>
      <c r="C191" s="278"/>
      <c r="D191" s="278"/>
      <c r="E191" s="7"/>
      <c r="F191" s="44"/>
      <c r="G191" s="454"/>
      <c r="H191" s="454"/>
      <c r="I191" s="454"/>
      <c r="J191" s="454"/>
      <c r="K191" s="454"/>
      <c r="L191" s="454"/>
      <c r="M191" s="454"/>
      <c r="Q191" s="32"/>
      <c r="R191" s="32"/>
      <c r="S191" s="32"/>
    </row>
    <row r="192" spans="1:19" ht="25.5" x14ac:dyDescent="0.2">
      <c r="A192" s="6"/>
      <c r="B192" s="45" t="s">
        <v>95</v>
      </c>
      <c r="C192" s="286"/>
      <c r="D192" s="286"/>
      <c r="E192" s="46"/>
      <c r="F192" s="47">
        <f ca="1">IF(Q4=0,"Bloqueado",IF(E192=0,0,(22.97*E192)))</f>
        <v>0</v>
      </c>
      <c r="G192" s="454"/>
      <c r="H192" s="454"/>
      <c r="I192" s="454"/>
      <c r="J192" s="454"/>
      <c r="K192" s="454"/>
      <c r="L192" s="454"/>
      <c r="M192" s="454"/>
      <c r="Q192" s="32"/>
      <c r="R192" s="32"/>
      <c r="S192" s="32"/>
    </row>
    <row r="193" spans="1:19" ht="6.75" customHeight="1" x14ac:dyDescent="0.2">
      <c r="A193" s="6"/>
      <c r="B193" s="18"/>
      <c r="C193" s="50"/>
      <c r="D193" s="50"/>
      <c r="E193" s="31"/>
      <c r="F193" s="28"/>
      <c r="G193" s="454"/>
      <c r="H193" s="454"/>
      <c r="I193" s="454"/>
      <c r="J193" s="454"/>
      <c r="K193" s="454"/>
      <c r="L193" s="454"/>
      <c r="M193" s="454"/>
      <c r="Q193" s="32"/>
      <c r="R193" s="32"/>
      <c r="S193" s="32"/>
    </row>
    <row r="194" spans="1:19" ht="12.75" customHeight="1" thickBot="1" x14ac:dyDescent="0.25">
      <c r="A194" s="6"/>
      <c r="B194" s="48" t="s">
        <v>96</v>
      </c>
      <c r="C194" s="287"/>
      <c r="D194" s="287"/>
      <c r="E194" s="49"/>
      <c r="F194" s="38">
        <f ca="1">IF(Q4=0,"Bloqueado",IF(E194=0,0,E194*22.97))</f>
        <v>0</v>
      </c>
      <c r="G194" s="454"/>
      <c r="H194" s="454"/>
      <c r="I194" s="454"/>
      <c r="J194" s="454"/>
      <c r="K194" s="454"/>
      <c r="L194" s="454"/>
      <c r="M194" s="454"/>
      <c r="Q194" s="32"/>
      <c r="R194" s="32"/>
      <c r="S194" s="32"/>
    </row>
    <row r="195" spans="1:19" ht="13.5" thickBot="1" x14ac:dyDescent="0.25">
      <c r="A195" s="6"/>
      <c r="B195" s="50"/>
      <c r="C195" s="50"/>
      <c r="D195" s="50"/>
      <c r="E195" s="7"/>
      <c r="F195" s="44"/>
      <c r="G195" s="454"/>
      <c r="H195" s="454"/>
      <c r="I195" s="454"/>
      <c r="J195" s="454"/>
      <c r="K195" s="454"/>
      <c r="L195" s="454"/>
      <c r="M195" s="454"/>
      <c r="Q195" s="32"/>
      <c r="R195" s="32"/>
      <c r="S195" s="32"/>
    </row>
    <row r="196" spans="1:19" ht="13.5" thickBot="1" x14ac:dyDescent="0.25">
      <c r="A196" s="6"/>
      <c r="B196" s="13" t="s">
        <v>97</v>
      </c>
      <c r="C196" s="278"/>
      <c r="D196" s="278"/>
      <c r="E196" s="7"/>
      <c r="F196" s="44"/>
      <c r="G196" s="454"/>
      <c r="H196" s="454"/>
      <c r="I196" s="454"/>
      <c r="J196" s="454"/>
      <c r="K196" s="454"/>
      <c r="L196" s="454"/>
      <c r="M196" s="454"/>
      <c r="Q196" s="32"/>
      <c r="R196" s="32"/>
      <c r="S196" s="32"/>
    </row>
    <row r="197" spans="1:19" ht="13.5" customHeight="1" x14ac:dyDescent="0.2">
      <c r="A197" s="6"/>
      <c r="B197" s="51" t="s">
        <v>98</v>
      </c>
      <c r="C197" s="288"/>
      <c r="D197" s="288"/>
      <c r="E197" s="46"/>
      <c r="F197" s="52">
        <f ca="1">IF(Q4=0,"Bloqueado",E197*26.32)</f>
        <v>0</v>
      </c>
      <c r="G197" s="454"/>
      <c r="H197" s="454"/>
      <c r="I197" s="454"/>
      <c r="J197" s="454"/>
      <c r="K197" s="454"/>
      <c r="L197" s="454"/>
      <c r="M197" s="454"/>
      <c r="P197" s="53"/>
      <c r="Q197" s="54"/>
      <c r="R197" s="55"/>
      <c r="S197" s="55"/>
    </row>
    <row r="198" spans="1:19" ht="6.75" customHeight="1" x14ac:dyDescent="0.2">
      <c r="A198" s="6"/>
      <c r="B198" s="443"/>
      <c r="C198" s="444"/>
      <c r="D198" s="444"/>
      <c r="E198" s="31"/>
      <c r="F198" s="28"/>
      <c r="G198" s="454"/>
      <c r="H198" s="454"/>
      <c r="I198" s="454"/>
      <c r="J198" s="454"/>
      <c r="K198" s="454"/>
      <c r="L198" s="454"/>
      <c r="M198" s="454"/>
    </row>
    <row r="199" spans="1:19" ht="38.25" x14ac:dyDescent="0.2">
      <c r="A199" s="6"/>
      <c r="B199" s="445" t="s">
        <v>99</v>
      </c>
      <c r="C199" s="446"/>
      <c r="D199" s="446"/>
      <c r="E199" s="27"/>
      <c r="F199" s="28">
        <f ca="1">IF(Q4=0,"Bloqueado",E199*72.43)</f>
        <v>0</v>
      </c>
      <c r="G199" s="454"/>
      <c r="H199" s="454"/>
      <c r="I199" s="454"/>
      <c r="J199" s="454"/>
      <c r="K199" s="454"/>
      <c r="L199" s="454"/>
      <c r="M199" s="454"/>
    </row>
    <row r="200" spans="1:19" x14ac:dyDescent="0.2">
      <c r="A200" s="6"/>
      <c r="B200" s="443" t="s">
        <v>100</v>
      </c>
      <c r="C200" s="444"/>
      <c r="D200" s="444"/>
      <c r="E200" s="31"/>
      <c r="F200" s="56"/>
      <c r="G200" s="454"/>
      <c r="H200" s="454"/>
      <c r="I200" s="454"/>
      <c r="J200" s="454"/>
      <c r="K200" s="454"/>
      <c r="L200" s="454"/>
      <c r="M200" s="454"/>
    </row>
    <row r="201" spans="1:19" x14ac:dyDescent="0.2">
      <c r="A201" s="6"/>
      <c r="B201" s="57" t="s">
        <v>101</v>
      </c>
      <c r="C201" s="289"/>
      <c r="D201" s="289"/>
      <c r="E201" s="27"/>
      <c r="F201" s="19">
        <f ca="1">IF(Q4=0,"Bloqueado",E201*0.05)</f>
        <v>0</v>
      </c>
      <c r="G201" s="454"/>
      <c r="H201" s="454"/>
      <c r="I201" s="454"/>
      <c r="J201" s="454"/>
      <c r="K201" s="454"/>
      <c r="L201" s="454"/>
      <c r="M201" s="454"/>
    </row>
    <row r="202" spans="1:19" ht="6.75" customHeight="1" x14ac:dyDescent="0.2">
      <c r="A202" s="6"/>
      <c r="B202" s="443"/>
      <c r="C202" s="444"/>
      <c r="D202" s="444"/>
      <c r="E202" s="31"/>
      <c r="F202" s="25"/>
      <c r="G202" s="454"/>
      <c r="H202" s="454"/>
      <c r="I202" s="454"/>
      <c r="J202" s="454"/>
      <c r="K202" s="454"/>
      <c r="L202" s="454"/>
      <c r="M202" s="454"/>
    </row>
    <row r="203" spans="1:19" ht="25.5" x14ac:dyDescent="0.2">
      <c r="A203" s="6"/>
      <c r="B203" s="443" t="s">
        <v>102</v>
      </c>
      <c r="C203" s="444"/>
      <c r="D203" s="444"/>
      <c r="E203" s="27"/>
      <c r="F203" s="25">
        <f ca="1">IF(Q4=0,"Bloqueado",E203*32.9)</f>
        <v>0</v>
      </c>
      <c r="G203" s="454"/>
      <c r="H203" s="454"/>
      <c r="I203" s="454"/>
      <c r="J203" s="454"/>
      <c r="K203" s="454"/>
      <c r="L203" s="454"/>
      <c r="M203" s="454"/>
    </row>
    <row r="204" spans="1:19" ht="6.75" customHeight="1" x14ac:dyDescent="0.2">
      <c r="A204" s="6"/>
      <c r="B204" s="443"/>
      <c r="C204" s="444"/>
      <c r="D204" s="444"/>
      <c r="E204" s="31"/>
      <c r="F204" s="25"/>
      <c r="G204" s="454"/>
      <c r="H204" s="454"/>
      <c r="I204" s="454"/>
      <c r="J204" s="454"/>
      <c r="K204" s="454"/>
      <c r="L204" s="454"/>
      <c r="M204" s="454"/>
    </row>
    <row r="205" spans="1:19" ht="13.5" thickBot="1" x14ac:dyDescent="0.25">
      <c r="A205" s="6"/>
      <c r="B205" s="58" t="s">
        <v>91</v>
      </c>
      <c r="C205" s="290"/>
      <c r="D205" s="290"/>
      <c r="E205" s="59" t="e">
        <f>IF((E197+#REF!+E199+#REF!+E201+E203)=0,0,SUM(E197:E203))</f>
        <v>#REF!</v>
      </c>
      <c r="F205" s="60">
        <f ca="1">IF(Q4=0,"Bloqueado",SUM(F197:F203))</f>
        <v>0</v>
      </c>
      <c r="G205" s="454"/>
      <c r="H205" s="454"/>
      <c r="I205" s="454"/>
      <c r="J205" s="454"/>
      <c r="K205" s="454"/>
      <c r="L205" s="454"/>
      <c r="M205" s="454"/>
    </row>
    <row r="206" spans="1:19" x14ac:dyDescent="0.2">
      <c r="A206" s="6"/>
      <c r="B206" s="57"/>
      <c r="C206" s="289"/>
      <c r="D206" s="289"/>
      <c r="E206" s="75"/>
      <c r="F206" s="44"/>
      <c r="G206" s="454"/>
      <c r="H206" s="454"/>
      <c r="I206" s="454"/>
      <c r="J206" s="454"/>
      <c r="K206" s="454"/>
      <c r="L206" s="454"/>
      <c r="M206" s="454"/>
    </row>
    <row r="207" spans="1:19" ht="12" customHeight="1" thickBot="1" x14ac:dyDescent="0.25">
      <c r="A207" s="6"/>
      <c r="B207" s="341" t="s">
        <v>103</v>
      </c>
      <c r="C207" s="342"/>
      <c r="D207" s="278"/>
      <c r="E207" s="7"/>
      <c r="F207" s="44"/>
      <c r="G207" s="454"/>
      <c r="H207" s="454"/>
      <c r="I207" s="454"/>
      <c r="J207" s="454"/>
      <c r="K207" s="454"/>
      <c r="L207" s="454"/>
      <c r="M207" s="454"/>
    </row>
    <row r="208" spans="1:19" ht="13.5" customHeight="1" thickBot="1" x14ac:dyDescent="0.25">
      <c r="A208" s="6"/>
      <c r="B208" s="396" t="s">
        <v>104</v>
      </c>
      <c r="C208" s="521"/>
      <c r="D208" s="521"/>
      <c r="E208" s="7"/>
      <c r="F208" s="44"/>
      <c r="G208" s="454"/>
      <c r="H208" s="454"/>
      <c r="I208" s="454"/>
      <c r="J208" s="454"/>
      <c r="K208" s="454"/>
      <c r="L208" s="454"/>
      <c r="M208" s="454"/>
    </row>
    <row r="209" spans="1:21" ht="17.25" customHeight="1" x14ac:dyDescent="0.2">
      <c r="A209" s="6"/>
      <c r="B209" s="51" t="s">
        <v>105</v>
      </c>
      <c r="C209" s="288"/>
      <c r="D209" s="339"/>
      <c r="E209" s="474"/>
      <c r="F209" s="340"/>
      <c r="G209" s="454"/>
      <c r="H209" s="454"/>
      <c r="I209" s="454"/>
      <c r="J209" s="454"/>
      <c r="K209" s="454"/>
      <c r="L209" s="454"/>
      <c r="M209" s="454"/>
    </row>
    <row r="210" spans="1:21" ht="2.25" customHeight="1" x14ac:dyDescent="0.2">
      <c r="A210" s="6"/>
      <c r="B210" s="443"/>
      <c r="C210" s="444"/>
      <c r="D210" s="444"/>
      <c r="E210" s="31"/>
      <c r="F210" s="25"/>
      <c r="G210" s="514"/>
      <c r="H210" s="512"/>
      <c r="I210" s="512"/>
      <c r="J210" s="512"/>
      <c r="K210" s="512"/>
      <c r="L210" s="512"/>
      <c r="M210" s="452"/>
    </row>
    <row r="211" spans="1:21" ht="15" customHeight="1" x14ac:dyDescent="0.2">
      <c r="A211" s="6"/>
      <c r="B211" s="522" t="s">
        <v>106</v>
      </c>
      <c r="C211" s="523"/>
      <c r="D211" s="523"/>
      <c r="E211" s="27"/>
      <c r="F211" s="265">
        <f ca="1">IF(Q4=0,"Bloqueado",IF(E211="",0,E211*21.65+(2*8.65)+(15*0.29)))</f>
        <v>0</v>
      </c>
      <c r="G211" s="23"/>
      <c r="H211" s="23"/>
      <c r="I211" s="23"/>
      <c r="J211" s="452"/>
      <c r="K211" s="452"/>
      <c r="L211" s="452"/>
      <c r="M211" s="452"/>
    </row>
    <row r="212" spans="1:21" ht="7.5" customHeight="1" x14ac:dyDescent="0.2">
      <c r="A212" s="343"/>
      <c r="B212" s="444"/>
      <c r="C212" s="444"/>
      <c r="D212" s="444"/>
      <c r="E212" s="31"/>
      <c r="F212" s="271"/>
      <c r="G212" s="23"/>
      <c r="H212" s="452"/>
      <c r="I212" s="452"/>
      <c r="J212" s="452"/>
      <c r="K212" s="452"/>
      <c r="L212" s="452"/>
      <c r="M212" s="452"/>
    </row>
    <row r="213" spans="1:21" ht="14.25" customHeight="1" x14ac:dyDescent="0.2">
      <c r="A213" s="343"/>
      <c r="B213" s="446" t="s">
        <v>107</v>
      </c>
      <c r="C213" s="411" t="s">
        <v>108</v>
      </c>
      <c r="D213" s="444"/>
      <c r="E213" s="27"/>
      <c r="F213" s="265">
        <f ca="1">IF(Q4=0,"Bloqueado",IF(E213="",0,E213*21.65+(2*8.65)+(15*0.29)))</f>
        <v>0</v>
      </c>
      <c r="G213" s="23"/>
      <c r="H213" s="452"/>
      <c r="I213" s="452"/>
      <c r="J213" s="452"/>
      <c r="K213" s="452"/>
      <c r="L213" s="452"/>
      <c r="M213" s="452"/>
    </row>
    <row r="214" spans="1:21" ht="8.25" customHeight="1" x14ac:dyDescent="0.2">
      <c r="A214" s="6"/>
      <c r="B214" s="443"/>
      <c r="C214" s="444"/>
      <c r="D214" s="444"/>
      <c r="E214" s="31"/>
      <c r="F214" s="28"/>
      <c r="G214" s="23"/>
      <c r="H214" s="452"/>
      <c r="I214" s="452"/>
      <c r="J214" s="452"/>
      <c r="K214" s="452"/>
      <c r="L214" s="452"/>
      <c r="M214" s="452"/>
    </row>
    <row r="215" spans="1:21" ht="9.75" customHeight="1" x14ac:dyDescent="0.2">
      <c r="A215" s="6"/>
      <c r="B215" s="443" t="s">
        <v>109</v>
      </c>
      <c r="C215" s="444"/>
      <c r="D215" s="444"/>
      <c r="E215" s="31"/>
      <c r="F215" s="28"/>
      <c r="G215" s="23"/>
      <c r="H215" s="452"/>
      <c r="I215" s="452"/>
      <c r="J215" s="452"/>
      <c r="K215" s="452"/>
      <c r="L215" s="452"/>
      <c r="M215" s="452"/>
    </row>
    <row r="216" spans="1:21" ht="9.75" customHeight="1" x14ac:dyDescent="0.2">
      <c r="A216" s="6"/>
      <c r="B216" s="443"/>
      <c r="C216" s="444"/>
      <c r="D216" s="444"/>
      <c r="E216" s="31"/>
      <c r="F216" s="28"/>
      <c r="G216" s="23"/>
      <c r="H216" s="452"/>
      <c r="I216" s="452"/>
      <c r="J216" s="452"/>
      <c r="K216" s="452"/>
      <c r="L216" s="452"/>
      <c r="M216" s="452"/>
    </row>
    <row r="217" spans="1:21" ht="14.25" customHeight="1" x14ac:dyDescent="0.2">
      <c r="A217" s="6"/>
      <c r="B217" s="524" t="s">
        <v>110</v>
      </c>
      <c r="C217" s="525"/>
      <c r="D217" s="525"/>
      <c r="E217" s="27"/>
      <c r="F217" s="265">
        <f ca="1">IF(Q4=0,"Bloqueado",IF(E217="",0,E217*21.65+(2*8.65)+(15*0.29)))</f>
        <v>0</v>
      </c>
      <c r="G217" s="23"/>
      <c r="H217" s="454"/>
      <c r="I217" s="454"/>
      <c r="J217" s="454"/>
      <c r="K217" s="454"/>
      <c r="L217" s="454"/>
      <c r="M217" s="454"/>
    </row>
    <row r="218" spans="1:21" s="333" customFormat="1" ht="7.5" customHeight="1" x14ac:dyDescent="0.2">
      <c r="A218" s="334"/>
      <c r="B218" s="336"/>
      <c r="C218" s="337"/>
      <c r="D218" s="337"/>
      <c r="E218" s="475"/>
      <c r="F218" s="338"/>
      <c r="G218" s="23"/>
      <c r="H218" s="335"/>
      <c r="I218" s="335"/>
      <c r="J218" s="335"/>
      <c r="K218" s="335"/>
      <c r="L218" s="335"/>
      <c r="M218" s="335"/>
      <c r="N218" s="331"/>
      <c r="O218" s="332"/>
      <c r="P218" s="331"/>
      <c r="Q218" s="331"/>
      <c r="R218" s="331"/>
      <c r="S218" s="331"/>
      <c r="T218" s="331"/>
      <c r="U218" s="331"/>
    </row>
    <row r="219" spans="1:21" ht="12.75" hidden="1" customHeight="1" x14ac:dyDescent="0.2">
      <c r="A219" s="6"/>
      <c r="B219" s="502" t="s">
        <v>111</v>
      </c>
      <c r="C219" s="503"/>
      <c r="D219" s="503"/>
      <c r="E219" s="473"/>
      <c r="F219" s="28">
        <v>0</v>
      </c>
      <c r="G219" s="23"/>
      <c r="H219" s="454"/>
      <c r="I219" s="454"/>
      <c r="J219" s="454"/>
      <c r="K219" s="454"/>
      <c r="L219" s="454"/>
      <c r="M219" s="454"/>
    </row>
    <row r="220" spans="1:21" ht="10.5" customHeight="1" x14ac:dyDescent="0.2">
      <c r="A220" s="6"/>
      <c r="B220" s="443"/>
      <c r="C220" s="446"/>
      <c r="D220" s="446"/>
      <c r="E220" s="475"/>
      <c r="F220" s="28"/>
      <c r="G220" s="454"/>
      <c r="H220" s="454"/>
      <c r="I220" s="454"/>
      <c r="J220" s="454"/>
      <c r="K220" s="454"/>
      <c r="L220" s="454"/>
      <c r="M220" s="454"/>
    </row>
    <row r="221" spans="1:21" ht="24.75" customHeight="1" x14ac:dyDescent="0.2">
      <c r="A221" s="6"/>
      <c r="B221" s="517" t="s">
        <v>112</v>
      </c>
      <c r="C221" s="518"/>
      <c r="D221" s="518"/>
      <c r="E221" s="475"/>
      <c r="F221" s="28"/>
      <c r="G221" s="454"/>
      <c r="H221" s="454"/>
      <c r="I221" s="454"/>
      <c r="J221" s="454"/>
      <c r="K221" s="454"/>
      <c r="L221" s="454"/>
      <c r="M221" s="454"/>
    </row>
    <row r="222" spans="1:21" ht="5.25" customHeight="1" x14ac:dyDescent="0.2">
      <c r="A222" s="6"/>
      <c r="B222" s="443"/>
      <c r="C222" s="446"/>
      <c r="D222" s="446"/>
      <c r="E222" s="475"/>
      <c r="F222" s="28"/>
      <c r="G222" s="454"/>
      <c r="H222" s="454"/>
      <c r="I222" s="454"/>
      <c r="J222" s="454"/>
      <c r="K222" s="454"/>
      <c r="L222" s="454"/>
      <c r="M222" s="454"/>
    </row>
    <row r="223" spans="1:21" ht="12.75" customHeight="1" x14ac:dyDescent="0.2">
      <c r="A223" s="6"/>
      <c r="B223" s="519" t="s">
        <v>113</v>
      </c>
      <c r="C223" s="520"/>
      <c r="D223" s="520"/>
      <c r="E223" s="475"/>
      <c r="F223" s="338"/>
      <c r="G223" s="454"/>
      <c r="H223" s="454"/>
      <c r="I223" s="454"/>
      <c r="J223" s="454"/>
      <c r="K223" s="454"/>
      <c r="L223" s="454"/>
      <c r="M223" s="454"/>
    </row>
    <row r="224" spans="1:21" ht="12.75" customHeight="1" x14ac:dyDescent="0.2">
      <c r="A224" s="6"/>
      <c r="B224" s="396" t="s">
        <v>114</v>
      </c>
      <c r="C224" s="347"/>
      <c r="D224" s="347"/>
      <c r="E224" s="475"/>
      <c r="F224" s="338"/>
      <c r="G224" s="454"/>
      <c r="H224" s="454"/>
      <c r="I224" s="454"/>
      <c r="J224" s="454"/>
      <c r="K224" s="454"/>
      <c r="L224" s="454"/>
      <c r="M224" s="454"/>
    </row>
    <row r="225" spans="1:13" ht="5.25" customHeight="1" x14ac:dyDescent="0.2">
      <c r="A225" s="6"/>
      <c r="B225" s="443"/>
      <c r="C225" s="446"/>
      <c r="D225" s="446"/>
      <c r="E225" s="475"/>
      <c r="F225" s="28"/>
      <c r="G225" s="454"/>
      <c r="H225" s="454"/>
      <c r="I225" s="454"/>
      <c r="J225" s="454"/>
      <c r="K225" s="454"/>
      <c r="L225" s="454"/>
      <c r="M225" s="454"/>
    </row>
    <row r="226" spans="1:13" ht="26.25" customHeight="1" x14ac:dyDescent="0.2">
      <c r="A226" s="6"/>
      <c r="B226" s="502" t="s">
        <v>115</v>
      </c>
      <c r="C226" s="503"/>
      <c r="D226" s="503"/>
      <c r="E226" s="27"/>
      <c r="F226" s="28">
        <f ca="1">IF(Q4=0,"Bloqueado",E226*32.9)</f>
        <v>0</v>
      </c>
      <c r="G226" s="454"/>
      <c r="H226" s="454"/>
      <c r="I226" s="454"/>
      <c r="J226" s="454"/>
      <c r="K226" s="454"/>
      <c r="L226" s="454"/>
      <c r="M226" s="454"/>
    </row>
    <row r="227" spans="1:13" ht="6.75" customHeight="1" x14ac:dyDescent="0.2">
      <c r="A227" s="6"/>
      <c r="B227" s="443"/>
      <c r="C227" s="446"/>
      <c r="D227" s="446"/>
      <c r="E227" s="475"/>
      <c r="F227" s="28"/>
      <c r="G227" s="454"/>
      <c r="H227" s="454"/>
      <c r="I227" s="454"/>
      <c r="J227" s="454"/>
      <c r="K227" s="454"/>
      <c r="L227" s="454"/>
      <c r="M227" s="454"/>
    </row>
    <row r="228" spans="1:13" ht="12.75" customHeight="1" x14ac:dyDescent="0.2">
      <c r="A228" s="6"/>
      <c r="B228" s="502" t="s">
        <v>116</v>
      </c>
      <c r="C228" s="503"/>
      <c r="D228" s="503"/>
      <c r="E228" s="27"/>
      <c r="F228" s="28">
        <f ca="1">IF(Q4=0,"Bloqueado",E228*21.65)</f>
        <v>0</v>
      </c>
      <c r="G228" s="454"/>
      <c r="H228" s="454"/>
      <c r="I228" s="454"/>
      <c r="J228" s="454"/>
      <c r="K228" s="454"/>
      <c r="L228" s="454"/>
      <c r="M228" s="454"/>
    </row>
    <row r="229" spans="1:13" ht="7.5" customHeight="1" x14ac:dyDescent="0.2">
      <c r="A229" s="6"/>
      <c r="B229" s="443"/>
      <c r="C229" s="446"/>
      <c r="D229" s="446"/>
      <c r="E229" s="475"/>
      <c r="F229" s="28"/>
      <c r="G229" s="454"/>
      <c r="H229" s="454"/>
      <c r="I229" s="454"/>
      <c r="J229" s="454"/>
      <c r="K229" s="454"/>
      <c r="L229" s="454"/>
      <c r="M229" s="454"/>
    </row>
    <row r="230" spans="1:13" ht="12.75" customHeight="1" x14ac:dyDescent="0.2">
      <c r="A230" s="6"/>
      <c r="B230" s="502" t="s">
        <v>117</v>
      </c>
      <c r="C230" s="503"/>
      <c r="D230" s="503"/>
      <c r="E230" s="27"/>
      <c r="F230" s="28">
        <f ca="1">IF(Q4=0,"Bloqueado",E230*32.9)</f>
        <v>0</v>
      </c>
      <c r="G230" s="454"/>
      <c r="H230" s="454"/>
      <c r="I230" s="454"/>
      <c r="J230" s="454"/>
      <c r="K230" s="454"/>
      <c r="L230" s="454"/>
      <c r="M230" s="454"/>
    </row>
    <row r="231" spans="1:13" ht="6.75" customHeight="1" x14ac:dyDescent="0.2">
      <c r="A231" s="6"/>
      <c r="B231" s="443"/>
      <c r="C231" s="446"/>
      <c r="D231" s="446"/>
      <c r="E231" s="475"/>
      <c r="F231" s="28"/>
      <c r="G231" s="454"/>
      <c r="H231" s="454"/>
      <c r="I231" s="454"/>
      <c r="J231" s="454"/>
      <c r="K231" s="454"/>
      <c r="L231" s="454"/>
      <c r="M231" s="454"/>
    </row>
    <row r="232" spans="1:13" ht="12.75" customHeight="1" x14ac:dyDescent="0.2">
      <c r="A232" s="6"/>
      <c r="B232" s="443" t="s">
        <v>118</v>
      </c>
      <c r="C232" s="446"/>
      <c r="D232" s="446"/>
      <c r="E232" s="27"/>
      <c r="F232" s="28">
        <f ca="1">IF(Q4=0,"Bloqueado",E232*16.44)</f>
        <v>0</v>
      </c>
      <c r="G232" s="454"/>
      <c r="H232" s="454"/>
      <c r="I232" s="454"/>
      <c r="J232" s="454"/>
      <c r="K232" s="454"/>
      <c r="L232" s="454"/>
      <c r="M232" s="454"/>
    </row>
    <row r="233" spans="1:13" ht="6" customHeight="1" x14ac:dyDescent="0.2">
      <c r="A233" s="6"/>
      <c r="B233" s="443"/>
      <c r="C233" s="446"/>
      <c r="D233" s="446"/>
      <c r="E233" s="475"/>
      <c r="F233" s="28"/>
      <c r="G233" s="454"/>
      <c r="H233" s="454"/>
      <c r="I233" s="454"/>
      <c r="J233" s="454"/>
      <c r="K233" s="454"/>
      <c r="L233" s="454"/>
      <c r="M233" s="454"/>
    </row>
    <row r="234" spans="1:13" ht="15" customHeight="1" x14ac:dyDescent="0.2">
      <c r="A234" s="6"/>
      <c r="B234" s="504" t="s">
        <v>119</v>
      </c>
      <c r="C234" s="505"/>
      <c r="D234" s="505"/>
      <c r="E234" s="27"/>
      <c r="F234" s="28">
        <f ca="1">IF(Q4=0,"Bloqueado",E234*3.26)</f>
        <v>0</v>
      </c>
      <c r="G234" s="454"/>
      <c r="H234" s="454"/>
      <c r="I234" s="454"/>
      <c r="J234" s="454"/>
      <c r="K234" s="454"/>
      <c r="L234" s="454"/>
      <c r="M234" s="454"/>
    </row>
    <row r="235" spans="1:13" ht="6.75" customHeight="1" x14ac:dyDescent="0.2">
      <c r="A235" s="6"/>
      <c r="B235" s="445"/>
      <c r="C235" s="446"/>
      <c r="D235" s="446"/>
      <c r="E235" s="475"/>
      <c r="F235" s="28"/>
      <c r="G235" s="454"/>
      <c r="H235" s="454"/>
      <c r="I235" s="454"/>
      <c r="J235" s="454"/>
      <c r="K235" s="454"/>
      <c r="L235" s="454"/>
      <c r="M235" s="454"/>
    </row>
    <row r="236" spans="1:13" ht="12.75" customHeight="1" x14ac:dyDescent="0.2">
      <c r="A236" s="345"/>
      <c r="B236" s="506" t="s">
        <v>120</v>
      </c>
      <c r="C236" s="507"/>
      <c r="D236" s="446"/>
      <c r="E236" s="27"/>
      <c r="F236" s="28">
        <f ca="1">IF(Q4=0,"Bloqueado",E236*20.48)</f>
        <v>0</v>
      </c>
      <c r="G236" s="454"/>
      <c r="H236" s="454"/>
      <c r="I236" s="454"/>
      <c r="J236" s="454"/>
      <c r="K236" s="454"/>
      <c r="L236" s="454"/>
      <c r="M236" s="454"/>
    </row>
    <row r="237" spans="1:13" ht="6" customHeight="1" x14ac:dyDescent="0.2">
      <c r="A237" s="6"/>
      <c r="B237" s="445"/>
      <c r="C237" s="446"/>
      <c r="D237" s="446"/>
      <c r="E237" s="475"/>
      <c r="F237" s="28"/>
      <c r="G237" s="454"/>
      <c r="H237" s="454"/>
      <c r="I237" s="454"/>
      <c r="J237" s="454"/>
      <c r="K237" s="454"/>
      <c r="L237" s="454"/>
      <c r="M237" s="454"/>
    </row>
    <row r="238" spans="1:13" ht="36" customHeight="1" x14ac:dyDescent="0.2">
      <c r="A238" s="6"/>
      <c r="B238" s="502" t="s">
        <v>121</v>
      </c>
      <c r="C238" s="503"/>
      <c r="D238" s="503"/>
      <c r="E238" s="27"/>
      <c r="F238" s="28">
        <f ca="1">IF(Q4=0,"Bloqueado",E238*0.29)</f>
        <v>0</v>
      </c>
      <c r="G238" s="454"/>
      <c r="H238" s="454"/>
      <c r="I238" s="454"/>
      <c r="J238" s="454"/>
      <c r="K238" s="454"/>
      <c r="L238" s="454"/>
      <c r="M238" s="454"/>
    </row>
    <row r="239" spans="1:13" ht="7.5" customHeight="1" x14ac:dyDescent="0.2">
      <c r="A239" s="6"/>
      <c r="B239" s="443"/>
      <c r="C239" s="444"/>
      <c r="D239" s="444"/>
      <c r="E239" s="475"/>
      <c r="F239" s="28"/>
      <c r="G239" s="454"/>
      <c r="H239" s="454"/>
      <c r="I239" s="454"/>
      <c r="J239" s="454"/>
      <c r="K239" s="454"/>
      <c r="L239" s="454"/>
      <c r="M239" s="454"/>
    </row>
    <row r="240" spans="1:13" ht="15.75" customHeight="1" x14ac:dyDescent="0.2">
      <c r="A240" s="6"/>
      <c r="B240" s="502" t="s">
        <v>122</v>
      </c>
      <c r="C240" s="503"/>
      <c r="D240" s="503"/>
      <c r="E240" s="27"/>
      <c r="F240" s="28">
        <f ca="1">IF(Q4=0,"Bloqueado",E240*6.55)</f>
        <v>0</v>
      </c>
      <c r="G240" s="454"/>
      <c r="H240" s="454"/>
      <c r="I240" s="454"/>
      <c r="J240" s="454"/>
      <c r="K240" s="454"/>
      <c r="L240" s="454"/>
      <c r="M240" s="454"/>
    </row>
    <row r="241" spans="1:15" ht="4.5" customHeight="1" x14ac:dyDescent="0.2">
      <c r="A241" s="6"/>
      <c r="B241" s="443"/>
      <c r="C241" s="444"/>
      <c r="D241" s="444"/>
      <c r="E241" s="475"/>
      <c r="F241" s="28"/>
      <c r="G241" s="454"/>
      <c r="H241" s="454"/>
      <c r="I241" s="454"/>
      <c r="J241" s="454"/>
      <c r="K241" s="454"/>
      <c r="L241" s="454"/>
      <c r="M241" s="454"/>
    </row>
    <row r="242" spans="1:15" ht="6.75" customHeight="1" x14ac:dyDescent="0.2">
      <c r="A242" s="6"/>
      <c r="B242" s="443"/>
      <c r="C242" s="444"/>
      <c r="D242" s="444"/>
      <c r="E242" s="475"/>
      <c r="F242" s="28"/>
      <c r="G242" s="454"/>
      <c r="H242" s="454"/>
      <c r="I242" s="454"/>
      <c r="J242" s="454"/>
      <c r="K242" s="454"/>
      <c r="L242" s="454"/>
      <c r="M242" s="454"/>
    </row>
    <row r="243" spans="1:15" ht="12.75" customHeight="1" x14ac:dyDescent="0.2">
      <c r="A243" s="6"/>
      <c r="B243" s="510" t="s">
        <v>123</v>
      </c>
      <c r="C243" s="511"/>
      <c r="D243" s="511"/>
      <c r="E243" s="475"/>
      <c r="F243" s="28"/>
      <c r="G243" s="454"/>
      <c r="H243" s="454"/>
      <c r="I243" s="454"/>
      <c r="J243" s="454"/>
      <c r="K243" s="454"/>
      <c r="L243" s="454"/>
      <c r="M243" s="454"/>
    </row>
    <row r="244" spans="1:15" ht="3.75" customHeight="1" x14ac:dyDescent="0.2">
      <c r="A244" s="6"/>
      <c r="B244" s="443"/>
      <c r="C244" s="444"/>
      <c r="D244" s="444"/>
      <c r="E244" s="475"/>
      <c r="F244" s="28"/>
      <c r="G244" s="454"/>
      <c r="H244" s="454"/>
      <c r="I244" s="454"/>
      <c r="J244" s="454"/>
      <c r="K244" s="454"/>
      <c r="L244" s="454"/>
      <c r="M244" s="454"/>
    </row>
    <row r="245" spans="1:15" ht="12.75" customHeight="1" x14ac:dyDescent="0.2">
      <c r="A245" s="6"/>
      <c r="B245" s="447" t="s">
        <v>124</v>
      </c>
      <c r="C245" s="444"/>
      <c r="D245" s="444"/>
      <c r="E245" s="27"/>
      <c r="F245" s="28">
        <f ca="1">IF(Q4=0,"Bloqueado",E245*18.79)</f>
        <v>0</v>
      </c>
      <c r="G245" s="454"/>
      <c r="H245" s="454"/>
      <c r="I245" s="454"/>
      <c r="J245" s="454"/>
      <c r="K245" s="454"/>
      <c r="L245" s="454"/>
      <c r="M245" s="454"/>
    </row>
    <row r="246" spans="1:15" ht="5.25" customHeight="1" x14ac:dyDescent="0.2">
      <c r="A246" s="6"/>
      <c r="B246" s="447"/>
      <c r="C246" s="444"/>
      <c r="D246" s="444"/>
      <c r="E246" s="475"/>
      <c r="F246" s="28"/>
      <c r="G246" s="454"/>
      <c r="H246" s="454"/>
      <c r="I246" s="454"/>
      <c r="J246" s="454"/>
      <c r="K246" s="454"/>
      <c r="L246" s="454"/>
      <c r="M246" s="454"/>
    </row>
    <row r="247" spans="1:15" ht="10.5" customHeight="1" x14ac:dyDescent="0.2">
      <c r="A247" s="6"/>
      <c r="B247" s="447" t="s">
        <v>125</v>
      </c>
      <c r="C247" s="444"/>
      <c r="D247" s="444"/>
      <c r="E247" s="27"/>
      <c r="F247" s="28">
        <f ca="1">IF(Q4=0,"Bloqueado",E247*18.79)</f>
        <v>0</v>
      </c>
      <c r="G247" s="454"/>
      <c r="H247" s="454"/>
      <c r="I247" s="454"/>
      <c r="J247" s="454"/>
      <c r="K247" s="454"/>
      <c r="L247" s="454"/>
      <c r="M247" s="454"/>
    </row>
    <row r="248" spans="1:15" ht="6" customHeight="1" x14ac:dyDescent="0.2">
      <c r="A248" s="6"/>
      <c r="B248" s="443"/>
      <c r="C248" s="444"/>
      <c r="D248" s="444"/>
      <c r="E248" s="475"/>
      <c r="F248" s="28"/>
      <c r="G248" s="454"/>
      <c r="H248" s="454"/>
      <c r="I248" s="454"/>
      <c r="J248" s="454"/>
      <c r="K248" s="454"/>
      <c r="L248" s="454"/>
      <c r="M248" s="454"/>
    </row>
    <row r="249" spans="1:15" ht="22.5" customHeight="1" x14ac:dyDescent="0.2">
      <c r="A249" s="6"/>
      <c r="B249" s="502" t="s">
        <v>126</v>
      </c>
      <c r="C249" s="503"/>
      <c r="D249" s="503"/>
      <c r="E249" s="27"/>
      <c r="F249" s="28">
        <f ca="1">IF(Q4=0,"Bloqueado",E249*16.42)</f>
        <v>0</v>
      </c>
      <c r="G249" s="454"/>
      <c r="H249" s="454"/>
      <c r="I249" s="454"/>
      <c r="J249" s="454"/>
      <c r="K249" s="454"/>
      <c r="L249" s="454"/>
      <c r="M249" s="454"/>
    </row>
    <row r="250" spans="1:15" ht="6.75" customHeight="1" x14ac:dyDescent="0.2">
      <c r="A250" s="6"/>
      <c r="B250" s="443"/>
      <c r="C250" s="444"/>
      <c r="D250" s="444"/>
      <c r="E250" s="31"/>
      <c r="F250" s="25"/>
      <c r="G250" s="456"/>
      <c r="H250" s="456"/>
      <c r="I250" s="454"/>
      <c r="J250" s="7"/>
      <c r="K250" s="454"/>
      <c r="L250" s="454"/>
      <c r="M250" s="454"/>
    </row>
    <row r="251" spans="1:15" ht="12.75" customHeight="1" x14ac:dyDescent="0.2">
      <c r="A251" s="6"/>
      <c r="B251" s="443" t="s">
        <v>127</v>
      </c>
      <c r="C251" s="444"/>
      <c r="D251" s="444"/>
      <c r="E251" s="460"/>
      <c r="F251" s="28">
        <f ca="1">IF(Q4=0,"Bloqueado",E251*8.65)</f>
        <v>0</v>
      </c>
      <c r="G251" s="456"/>
      <c r="H251" s="456"/>
      <c r="I251" s="454"/>
      <c r="J251" s="7"/>
      <c r="K251" s="454"/>
      <c r="L251" s="454"/>
      <c r="M251" s="454"/>
    </row>
    <row r="252" spans="1:15" ht="6.75" customHeight="1" x14ac:dyDescent="0.2">
      <c r="A252" s="6"/>
      <c r="B252" s="443"/>
      <c r="C252" s="444"/>
      <c r="D252" s="444"/>
      <c r="E252" s="31"/>
      <c r="F252" s="25"/>
      <c r="G252" s="456"/>
      <c r="H252" s="456"/>
      <c r="I252" s="454"/>
      <c r="J252" s="7"/>
      <c r="K252" s="454"/>
      <c r="L252" s="454"/>
      <c r="M252" s="454"/>
    </row>
    <row r="253" spans="1:15" ht="25.5" customHeight="1" x14ac:dyDescent="0.2">
      <c r="A253" s="6"/>
      <c r="B253" s="540" t="s">
        <v>128</v>
      </c>
      <c r="C253" s="541"/>
      <c r="D253" s="541"/>
      <c r="E253" s="460"/>
      <c r="F253" s="28">
        <f ca="1">IF(Q4=0,"Bloqueado",E253*3.26)</f>
        <v>0</v>
      </c>
      <c r="G253" s="456"/>
      <c r="H253" s="456"/>
      <c r="I253" s="454"/>
      <c r="J253" s="7"/>
      <c r="K253" s="454"/>
      <c r="L253" s="454"/>
      <c r="M253" s="454"/>
    </row>
    <row r="254" spans="1:15" ht="8.25" customHeight="1" x14ac:dyDescent="0.2">
      <c r="A254" s="6"/>
      <c r="B254" s="443"/>
      <c r="C254" s="444"/>
      <c r="D254" s="444"/>
      <c r="E254" s="31"/>
      <c r="F254" s="25"/>
      <c r="G254" s="456"/>
      <c r="H254" s="456"/>
      <c r="I254" s="454"/>
      <c r="J254" s="7"/>
      <c r="K254" s="454"/>
      <c r="L254" s="454"/>
      <c r="M254" s="454"/>
    </row>
    <row r="255" spans="1:15" ht="16.5" customHeight="1" thickBot="1" x14ac:dyDescent="0.25">
      <c r="A255" s="6"/>
      <c r="B255" s="58" t="s">
        <v>91</v>
      </c>
      <c r="C255" s="290"/>
      <c r="D255" s="290"/>
      <c r="E255" s="59">
        <f>IF((E209+E217)=0,0,SUM(E209:E217))</f>
        <v>0</v>
      </c>
      <c r="F255" s="60">
        <f ca="1">IF(Q4=0,"Bloqueado",SUM(F209:F253))</f>
        <v>0</v>
      </c>
      <c r="G255" s="456"/>
      <c r="H255" s="456"/>
      <c r="I255" s="454"/>
      <c r="J255" s="454"/>
      <c r="K255" s="454"/>
      <c r="L255" s="454"/>
      <c r="M255" s="454"/>
      <c r="O255" s="5">
        <f>IF(E271="",0,1)</f>
        <v>0</v>
      </c>
    </row>
    <row r="256" spans="1:15" ht="6.75" customHeight="1" thickBot="1" x14ac:dyDescent="0.25">
      <c r="A256" s="6"/>
      <c r="B256" s="451"/>
      <c r="C256" s="451"/>
      <c r="D256" s="451"/>
      <c r="E256" s="7"/>
      <c r="F256" s="44"/>
      <c r="G256" s="456"/>
      <c r="H256" s="456"/>
      <c r="I256" s="454"/>
      <c r="J256" s="454"/>
      <c r="K256" s="454"/>
      <c r="L256" s="454"/>
      <c r="M256" s="454"/>
    </row>
    <row r="257" spans="1:16" ht="18" customHeight="1" thickBot="1" x14ac:dyDescent="0.25">
      <c r="A257" s="6"/>
      <c r="B257" s="61" t="s">
        <v>129</v>
      </c>
      <c r="C257" s="291"/>
      <c r="D257" s="291"/>
      <c r="E257" s="7"/>
      <c r="F257" s="44"/>
      <c r="G257" s="456"/>
      <c r="H257" s="456"/>
      <c r="I257" s="454"/>
      <c r="J257" s="454"/>
      <c r="K257" s="454"/>
      <c r="L257" s="454"/>
      <c r="M257" s="454"/>
      <c r="O257" s="5">
        <f>IF(E273="",0,1)</f>
        <v>0</v>
      </c>
    </row>
    <row r="258" spans="1:16" ht="42" customHeight="1" x14ac:dyDescent="0.2">
      <c r="A258" s="6"/>
      <c r="B258" s="508" t="s">
        <v>130</v>
      </c>
      <c r="C258" s="509"/>
      <c r="D258" s="509"/>
      <c r="E258" s="253"/>
      <c r="F258" s="254">
        <f ca="1">IF(Q4=0,"Bloqueado",IF(E258=0,0,E258*18.79))</f>
        <v>0</v>
      </c>
      <c r="G258" s="454"/>
      <c r="H258" s="454"/>
      <c r="I258" s="454"/>
      <c r="J258" s="454"/>
      <c r="K258" s="454"/>
      <c r="L258" s="454"/>
      <c r="M258" s="454"/>
    </row>
    <row r="259" spans="1:16" ht="12.75" customHeight="1" x14ac:dyDescent="0.2">
      <c r="A259" s="6"/>
      <c r="B259" s="255"/>
      <c r="C259" s="23"/>
      <c r="D259" s="23"/>
      <c r="E259" s="23"/>
      <c r="F259" s="256"/>
      <c r="G259" s="454"/>
      <c r="H259" s="454"/>
      <c r="I259" s="454"/>
      <c r="J259" s="454"/>
      <c r="K259" s="454"/>
      <c r="L259" s="454"/>
      <c r="M259" s="454"/>
      <c r="O259" s="5">
        <f>O255+O257</f>
        <v>0</v>
      </c>
      <c r="P259" s="4">
        <f>IF(O259=0,0,2)</f>
        <v>0</v>
      </c>
    </row>
    <row r="260" spans="1:16" ht="12.75" customHeight="1" thickBot="1" x14ac:dyDescent="0.25">
      <c r="A260" s="6"/>
      <c r="B260" s="257" t="s">
        <v>131</v>
      </c>
      <c r="C260" s="292"/>
      <c r="D260" s="292"/>
      <c r="E260" s="258"/>
      <c r="F260" s="259">
        <f ca="1">IF(Q4=0,"Bloqueado",IF(E260=0,0,E260*7.42))</f>
        <v>0</v>
      </c>
      <c r="G260" s="454"/>
      <c r="H260" s="454"/>
      <c r="I260" s="454"/>
      <c r="J260" s="454"/>
      <c r="K260" s="454"/>
      <c r="L260" s="454"/>
      <c r="M260" s="454"/>
      <c r="O260" s="76"/>
    </row>
    <row r="261" spans="1:16" ht="12.75" customHeight="1" thickBot="1" x14ac:dyDescent="0.25">
      <c r="A261" s="6"/>
      <c r="B261" s="50"/>
      <c r="C261" s="50"/>
      <c r="D261" s="50"/>
      <c r="E261" s="65"/>
      <c r="F261" s="44"/>
      <c r="G261" s="454"/>
      <c r="H261" s="454"/>
      <c r="I261" s="454"/>
      <c r="J261" s="454"/>
      <c r="K261" s="454"/>
      <c r="L261" s="454"/>
      <c r="M261" s="454"/>
      <c r="O261" s="76">
        <f>1030.02*0.03</f>
        <v>30.900599999999997</v>
      </c>
    </row>
    <row r="262" spans="1:16" ht="12.75" customHeight="1" thickBot="1" x14ac:dyDescent="0.25">
      <c r="A262" s="6"/>
      <c r="B262" s="13" t="s">
        <v>132</v>
      </c>
      <c r="C262" s="278"/>
      <c r="D262" s="278"/>
      <c r="E262" s="7"/>
      <c r="F262" s="44"/>
      <c r="G262" s="454"/>
      <c r="H262" s="454"/>
      <c r="I262" s="454"/>
      <c r="J262" s="454"/>
      <c r="K262" s="454"/>
      <c r="L262" s="454"/>
      <c r="M262" s="454"/>
      <c r="O262" s="76">
        <f>(2064.86-1030.02)*0.02</f>
        <v>20.696800000000003</v>
      </c>
    </row>
    <row r="263" spans="1:16" ht="18.75" customHeight="1" thickBot="1" x14ac:dyDescent="0.25">
      <c r="A263" s="6"/>
      <c r="B263" s="66" t="s">
        <v>133</v>
      </c>
      <c r="C263" s="278"/>
      <c r="D263" s="278"/>
      <c r="E263" s="7"/>
      <c r="F263" s="44"/>
      <c r="G263" s="454"/>
      <c r="H263" s="454"/>
      <c r="I263" s="454"/>
      <c r="J263" s="454"/>
      <c r="K263" s="454"/>
      <c r="L263" s="454"/>
      <c r="M263" s="454"/>
      <c r="O263" s="76"/>
    </row>
    <row r="264" spans="1:16" ht="12.75" customHeight="1" thickBot="1" x14ac:dyDescent="0.25">
      <c r="A264" s="6"/>
      <c r="B264" s="402" t="s">
        <v>134</v>
      </c>
      <c r="C264" s="403"/>
      <c r="D264" s="403"/>
      <c r="E264" s="7"/>
      <c r="F264" s="44"/>
      <c r="G264" s="454"/>
      <c r="H264" s="454"/>
      <c r="I264" s="454"/>
      <c r="J264" s="454"/>
      <c r="K264" s="454"/>
      <c r="L264" s="454"/>
      <c r="M264" s="454"/>
      <c r="O264" s="76"/>
    </row>
    <row r="265" spans="1:16" ht="17.25" customHeight="1" x14ac:dyDescent="0.2">
      <c r="A265" s="6"/>
      <c r="B265" s="18" t="s">
        <v>135</v>
      </c>
      <c r="C265" s="50"/>
      <c r="D265" s="50"/>
      <c r="E265" s="67"/>
      <c r="F265" s="17">
        <f ca="1">IF(Q4=0,"Bloqueado",E265*46.07)</f>
        <v>0</v>
      </c>
      <c r="G265" s="454"/>
      <c r="H265" s="454"/>
      <c r="I265" s="454"/>
      <c r="J265" s="454"/>
      <c r="K265" s="454"/>
      <c r="L265" s="454"/>
      <c r="M265" s="454"/>
      <c r="O265" s="76">
        <f>(5157.34-2064.86)*0.01</f>
        <v>30.924800000000001</v>
      </c>
    </row>
    <row r="266" spans="1:16" ht="12.75" customHeight="1" x14ac:dyDescent="0.2">
      <c r="A266" s="6"/>
      <c r="B266" s="18"/>
      <c r="C266" s="50"/>
      <c r="D266" s="50"/>
      <c r="E266" s="65"/>
      <c r="F266" s="19"/>
      <c r="G266" s="454"/>
      <c r="H266" s="454"/>
      <c r="I266" s="454"/>
      <c r="J266" s="454"/>
      <c r="K266" s="454"/>
      <c r="L266" s="454"/>
      <c r="M266" s="454"/>
      <c r="O266" s="76"/>
    </row>
    <row r="267" spans="1:16" ht="13.5" customHeight="1" x14ac:dyDescent="0.2">
      <c r="A267" s="6"/>
      <c r="B267" s="34" t="s">
        <v>136</v>
      </c>
      <c r="C267" s="282"/>
      <c r="D267" s="282"/>
      <c r="E267" s="68"/>
      <c r="F267" s="69">
        <f ca="1">IF(Q4=0,"Bloqueado",E267*125.13)</f>
        <v>0</v>
      </c>
      <c r="G267" s="454"/>
      <c r="H267" s="454"/>
      <c r="I267" s="454"/>
      <c r="J267" s="454"/>
      <c r="K267" s="454"/>
      <c r="L267" s="454"/>
      <c r="M267" s="454"/>
    </row>
    <row r="268" spans="1:16" ht="12.75" customHeight="1" x14ac:dyDescent="0.2">
      <c r="A268" s="6"/>
      <c r="B268" s="34"/>
      <c r="C268" s="282"/>
      <c r="D268" s="282"/>
      <c r="E268" s="70"/>
      <c r="F268" s="69"/>
      <c r="G268" s="454"/>
      <c r="H268" s="454"/>
      <c r="I268" s="454"/>
      <c r="J268" s="454"/>
      <c r="K268" s="454"/>
      <c r="L268" s="454"/>
      <c r="M268" s="454"/>
    </row>
    <row r="269" spans="1:16" ht="12.75" customHeight="1" x14ac:dyDescent="0.2">
      <c r="A269" s="6"/>
      <c r="B269" s="34" t="s">
        <v>137</v>
      </c>
      <c r="C269" s="282"/>
      <c r="D269" s="282"/>
      <c r="E269" s="70"/>
      <c r="F269" s="69"/>
      <c r="G269" s="454"/>
      <c r="H269" s="454"/>
      <c r="I269" s="454"/>
      <c r="J269" s="454"/>
      <c r="K269" s="454"/>
      <c r="L269" s="454"/>
      <c r="M269" s="454"/>
    </row>
    <row r="270" spans="1:16" ht="6" customHeight="1" x14ac:dyDescent="0.2">
      <c r="A270" s="6"/>
      <c r="B270" s="34"/>
      <c r="C270" s="282"/>
      <c r="D270" s="282"/>
      <c r="E270" s="65"/>
      <c r="F270" s="19"/>
      <c r="G270" s="454"/>
      <c r="H270" s="454"/>
      <c r="I270" s="454"/>
      <c r="J270" s="454"/>
      <c r="K270" s="454"/>
      <c r="L270" s="454"/>
      <c r="M270" s="454"/>
    </row>
    <row r="271" spans="1:16" ht="12.75" customHeight="1" x14ac:dyDescent="0.2">
      <c r="A271" s="6"/>
      <c r="B271" s="33" t="s">
        <v>138</v>
      </c>
      <c r="C271" s="280"/>
      <c r="D271" s="280"/>
      <c r="E271" s="68"/>
      <c r="F271" s="19"/>
      <c r="G271" s="512" t="str">
        <f>IF(O271&gt;1,"Escolher somente um período","")</f>
        <v/>
      </c>
      <c r="H271" s="512"/>
      <c r="I271" s="512"/>
      <c r="J271" s="512"/>
      <c r="K271" s="512"/>
      <c r="L271" s="512"/>
      <c r="M271" s="452"/>
      <c r="O271" s="5">
        <f>COUNTA(E286:E290)</f>
        <v>0</v>
      </c>
    </row>
    <row r="272" spans="1:16" ht="6" customHeight="1" x14ac:dyDescent="0.2">
      <c r="A272" s="6"/>
      <c r="B272" s="18"/>
      <c r="C272" s="50"/>
      <c r="D272" s="50"/>
      <c r="E272" s="65"/>
      <c r="F272" s="19"/>
      <c r="G272" s="454"/>
      <c r="H272" s="454"/>
      <c r="I272" s="454"/>
      <c r="J272" s="454"/>
      <c r="K272" s="454"/>
      <c r="L272" s="454"/>
      <c r="M272" s="454"/>
    </row>
    <row r="273" spans="1:13" ht="12.75" customHeight="1" x14ac:dyDescent="0.2">
      <c r="A273" s="6"/>
      <c r="B273" s="22" t="s">
        <v>139</v>
      </c>
      <c r="C273" s="131"/>
      <c r="D273" s="131"/>
      <c r="E273" s="71"/>
      <c r="F273" s="19"/>
      <c r="G273" s="80">
        <f>IF(G271="Escolher somente um período","Erro",F286+F288)</f>
        <v>0</v>
      </c>
      <c r="H273" s="454"/>
      <c r="I273" s="454"/>
      <c r="J273" s="454"/>
      <c r="K273" s="454"/>
      <c r="L273" s="454"/>
      <c r="M273" s="454"/>
    </row>
    <row r="274" spans="1:13" ht="6" customHeight="1" x14ac:dyDescent="0.2">
      <c r="A274" s="6"/>
      <c r="B274" s="72"/>
      <c r="C274" s="293"/>
      <c r="D274" s="293"/>
      <c r="E274" s="7"/>
      <c r="F274" s="25"/>
      <c r="G274" s="454"/>
      <c r="H274" s="454"/>
      <c r="I274" s="454"/>
      <c r="J274" s="454"/>
      <c r="K274" s="454"/>
      <c r="L274" s="454"/>
      <c r="M274" s="454"/>
    </row>
    <row r="275" spans="1:13" ht="12.75" customHeight="1" thickBot="1" x14ac:dyDescent="0.25">
      <c r="A275" s="6"/>
      <c r="B275" s="73" t="s">
        <v>91</v>
      </c>
      <c r="C275" s="294"/>
      <c r="D275" s="294"/>
      <c r="E275" s="59"/>
      <c r="F275" s="60">
        <f ca="1">IF(O259=0,SUM(F265:F267),SUM(F265:F267)/2)</f>
        <v>0</v>
      </c>
      <c r="G275" s="454"/>
      <c r="H275" s="454"/>
      <c r="I275" s="454"/>
      <c r="J275" s="7"/>
      <c r="K275" s="454"/>
      <c r="L275" s="454"/>
      <c r="M275" s="454"/>
    </row>
    <row r="276" spans="1:13" ht="18" customHeight="1" thickBot="1" x14ac:dyDescent="0.25">
      <c r="A276" s="6"/>
      <c r="B276" s="74" t="s">
        <v>140</v>
      </c>
      <c r="C276" s="448"/>
      <c r="D276" s="448"/>
      <c r="E276" s="75"/>
      <c r="F276" s="44"/>
      <c r="G276" s="454"/>
      <c r="H276" s="454"/>
      <c r="I276" s="454"/>
      <c r="J276" s="454"/>
      <c r="K276" s="454"/>
      <c r="L276" s="454"/>
      <c r="M276" s="454"/>
    </row>
    <row r="277" spans="1:13" ht="18" customHeight="1" x14ac:dyDescent="0.2">
      <c r="A277" s="6"/>
      <c r="B277" s="77" t="s">
        <v>141</v>
      </c>
      <c r="C277" s="295"/>
      <c r="D277" s="295"/>
      <c r="E277" s="78"/>
      <c r="F277" s="52">
        <f ca="1">IF(Q4=0,"Bloqueado",E278*0.02)</f>
        <v>0</v>
      </c>
      <c r="G277" s="454"/>
      <c r="H277" s="454"/>
      <c r="I277" s="454"/>
      <c r="J277" s="454"/>
      <c r="K277" s="454"/>
      <c r="L277" s="454"/>
      <c r="M277" s="454"/>
    </row>
    <row r="278" spans="1:13" ht="12.75" customHeight="1" x14ac:dyDescent="0.2">
      <c r="A278" s="6"/>
      <c r="B278" s="29" t="s">
        <v>142</v>
      </c>
      <c r="C278" s="451"/>
      <c r="D278" s="451"/>
      <c r="E278" s="71"/>
      <c r="F278" s="25"/>
      <c r="G278" s="454"/>
      <c r="H278" s="454"/>
      <c r="I278" s="454"/>
      <c r="J278" s="454"/>
      <c r="K278" s="454"/>
      <c r="L278" s="454"/>
      <c r="M278" s="454"/>
    </row>
    <row r="279" spans="1:13" ht="12.75" customHeight="1" x14ac:dyDescent="0.2">
      <c r="A279" s="6"/>
      <c r="B279" s="29"/>
      <c r="C279" s="451"/>
      <c r="D279" s="451"/>
      <c r="E279" s="65"/>
      <c r="F279" s="25"/>
      <c r="G279" s="514" t="str">
        <f>IF(E297="","","Observar o Limite Máximo por ato de 771,520")</f>
        <v/>
      </c>
      <c r="H279" s="514"/>
      <c r="I279" s="514"/>
      <c r="J279" s="514"/>
      <c r="K279" s="514"/>
      <c r="L279" s="514"/>
      <c r="M279" s="514"/>
    </row>
    <row r="280" spans="1:13" ht="15" customHeight="1" x14ac:dyDescent="0.2">
      <c r="A280" s="6"/>
      <c r="B280" s="404" t="s">
        <v>143</v>
      </c>
      <c r="C280" s="296"/>
      <c r="D280" s="296"/>
      <c r="E280" s="65"/>
      <c r="F280" s="25">
        <f ca="1">IF(Q4=0,"Bloqueado",IF(F281=0,0,IF(F281&lt;30,30,IF(F281&gt;973.78,973.78,F281))))</f>
        <v>0</v>
      </c>
      <c r="G280" s="454"/>
      <c r="H280" s="454"/>
      <c r="I280" s="454"/>
      <c r="J280" s="454"/>
      <c r="K280" s="454"/>
      <c r="L280" s="454"/>
      <c r="M280" s="454"/>
    </row>
    <row r="281" spans="1:13" ht="12.75" customHeight="1" x14ac:dyDescent="0.2">
      <c r="A281" s="6"/>
      <c r="B281" s="29" t="s">
        <v>101</v>
      </c>
      <c r="C281" s="451"/>
      <c r="D281" s="451"/>
      <c r="E281" s="20"/>
      <c r="F281" s="79">
        <f>IF(E281&lt;973.78,E281*0.03,IF(E281&lt;1952.12,E281*0.05,IF(E281&lt;4875.75,E281*0.06,E281*0.07)))</f>
        <v>0</v>
      </c>
      <c r="G281" s="454"/>
      <c r="H281" s="454"/>
      <c r="I281" s="454"/>
      <c r="J281" s="454"/>
      <c r="K281" s="454"/>
      <c r="L281" s="454"/>
      <c r="M281" s="454"/>
    </row>
    <row r="282" spans="1:13" ht="15" customHeight="1" x14ac:dyDescent="0.2">
      <c r="A282" s="6"/>
      <c r="B282" s="29"/>
      <c r="C282" s="451"/>
      <c r="D282" s="451"/>
      <c r="E282" s="65"/>
      <c r="F282" s="25"/>
      <c r="G282" s="454"/>
      <c r="H282" s="454"/>
      <c r="I282" s="454"/>
      <c r="J282" s="454"/>
      <c r="K282" s="454"/>
      <c r="L282" s="454"/>
      <c r="M282" s="454"/>
    </row>
    <row r="283" spans="1:13" ht="12.75" customHeight="1" x14ac:dyDescent="0.2">
      <c r="A283" s="6"/>
      <c r="B283" s="30" t="s">
        <v>144</v>
      </c>
      <c r="C283" s="12"/>
      <c r="D283" s="12"/>
      <c r="E283" s="65"/>
      <c r="F283" s="25">
        <f ca="1">IF(Q4=0,"Bloqueado",IF(G273="Erro","ERRO",IF(F284&gt;846.44,846.44,F284)))</f>
        <v>0</v>
      </c>
      <c r="G283" s="85"/>
      <c r="H283" s="454"/>
      <c r="I283" s="454"/>
      <c r="J283" s="454"/>
      <c r="K283" s="454"/>
      <c r="L283" s="454"/>
      <c r="M283" s="454"/>
    </row>
    <row r="284" spans="1:13" ht="12.75" customHeight="1" x14ac:dyDescent="0.2">
      <c r="A284" s="6"/>
      <c r="B284" s="29" t="s">
        <v>145</v>
      </c>
      <c r="C284" s="451"/>
      <c r="D284" s="451"/>
      <c r="E284" s="20"/>
      <c r="F284" s="79">
        <f>IF(F290&gt;0,E284*0.03+E284*F290,E284*G273)</f>
        <v>0</v>
      </c>
      <c r="G284" s="85"/>
      <c r="H284" s="454"/>
      <c r="I284" s="454"/>
      <c r="J284" s="454"/>
      <c r="K284" s="454"/>
      <c r="L284" s="454"/>
      <c r="M284" s="454"/>
    </row>
    <row r="285" spans="1:13" ht="12.75" customHeight="1" x14ac:dyDescent="0.2">
      <c r="A285" s="6"/>
      <c r="B285" s="29"/>
      <c r="C285" s="451"/>
      <c r="D285" s="451"/>
      <c r="E285" s="7"/>
      <c r="F285" s="79"/>
      <c r="G285" s="85"/>
      <c r="H285" s="454"/>
      <c r="I285" s="454"/>
      <c r="J285" s="454"/>
      <c r="K285" s="454"/>
      <c r="L285" s="454"/>
      <c r="M285" s="454"/>
    </row>
    <row r="286" spans="1:13" ht="12" customHeight="1" x14ac:dyDescent="0.2">
      <c r="A286" s="6"/>
      <c r="B286" s="30" t="s">
        <v>146</v>
      </c>
      <c r="C286" s="12"/>
      <c r="D286" s="12"/>
      <c r="E286" s="20"/>
      <c r="F286" s="79">
        <f>IF(E286="",0,0.02)</f>
        <v>0</v>
      </c>
      <c r="G286" s="85"/>
      <c r="H286" s="454"/>
      <c r="I286" s="454"/>
      <c r="J286" s="454"/>
      <c r="K286" s="454"/>
      <c r="L286" s="454"/>
      <c r="M286" s="454"/>
    </row>
    <row r="287" spans="1:13" ht="12.75" customHeight="1" x14ac:dyDescent="0.2">
      <c r="A287" s="6"/>
      <c r="B287" s="30"/>
      <c r="C287" s="12"/>
      <c r="D287" s="12"/>
      <c r="E287" s="7"/>
      <c r="F287" s="79"/>
      <c r="G287" s="85"/>
      <c r="H287" s="454"/>
      <c r="I287" s="454"/>
      <c r="J287" s="454"/>
      <c r="K287" s="454"/>
      <c r="L287" s="454"/>
      <c r="M287" s="454"/>
    </row>
    <row r="288" spans="1:13" ht="12.75" customHeight="1" x14ac:dyDescent="0.2">
      <c r="A288" s="6"/>
      <c r="B288" s="30" t="s">
        <v>147</v>
      </c>
      <c r="C288" s="12"/>
      <c r="D288" s="12"/>
      <c r="E288" s="20"/>
      <c r="F288" s="79">
        <f>IF(E288="",0,0.03)</f>
        <v>0</v>
      </c>
      <c r="G288" s="536" t="str">
        <f>IF(E304="","","Observar o Limite Máximo por ato de 771,520")</f>
        <v/>
      </c>
      <c r="H288" s="536"/>
      <c r="I288" s="536"/>
      <c r="J288" s="536"/>
      <c r="K288" s="536"/>
      <c r="L288" s="536"/>
      <c r="M288" s="536"/>
    </row>
    <row r="289" spans="1:21" ht="6.75" customHeight="1" x14ac:dyDescent="0.2">
      <c r="A289" s="6"/>
      <c r="B289" s="29"/>
      <c r="C289" s="451"/>
      <c r="D289" s="451"/>
      <c r="E289" s="7"/>
      <c r="F289" s="79"/>
      <c r="G289" s="85"/>
      <c r="H289" s="454"/>
      <c r="I289" s="454"/>
      <c r="J289" s="454"/>
      <c r="K289" s="454"/>
      <c r="L289" s="454"/>
      <c r="M289" s="454"/>
    </row>
    <row r="290" spans="1:21" ht="12.75" customHeight="1" x14ac:dyDescent="0.2">
      <c r="A290" s="6"/>
      <c r="B290" s="29" t="s">
        <v>148</v>
      </c>
      <c r="C290" s="451"/>
      <c r="D290" s="451"/>
      <c r="E290" s="20"/>
      <c r="F290" s="79">
        <f>E290*0.01</f>
        <v>0</v>
      </c>
      <c r="G290" s="85"/>
      <c r="H290" s="454"/>
      <c r="I290" s="454"/>
      <c r="J290" s="454"/>
      <c r="K290" s="454"/>
      <c r="L290" s="454"/>
      <c r="M290" s="454"/>
    </row>
    <row r="291" spans="1:21" s="333" customFormat="1" ht="5.25" customHeight="1" x14ac:dyDescent="0.2">
      <c r="A291" s="334"/>
      <c r="B291" s="405"/>
      <c r="C291" s="406"/>
      <c r="D291" s="406"/>
      <c r="E291" s="462"/>
      <c r="F291" s="407"/>
      <c r="G291" s="408"/>
      <c r="H291" s="335"/>
      <c r="I291" s="335"/>
      <c r="J291" s="335"/>
      <c r="K291" s="335"/>
      <c r="L291" s="335"/>
      <c r="M291" s="335"/>
      <c r="N291" s="331"/>
      <c r="O291" s="332"/>
      <c r="P291" s="331"/>
      <c r="Q291" s="331"/>
      <c r="R291" s="331"/>
      <c r="S291" s="331"/>
      <c r="T291" s="331"/>
      <c r="U291" s="331"/>
    </row>
    <row r="292" spans="1:21" ht="20.25" customHeight="1" x14ac:dyDescent="0.2">
      <c r="A292" s="6"/>
      <c r="B292" s="538" t="s">
        <v>149</v>
      </c>
      <c r="C292" s="539"/>
      <c r="D292" s="539"/>
      <c r="E292" s="7"/>
      <c r="F292" s="25"/>
      <c r="G292" s="85"/>
      <c r="H292" s="454"/>
      <c r="I292" s="454"/>
      <c r="J292" s="454"/>
      <c r="K292" s="454"/>
      <c r="L292" s="454"/>
      <c r="M292" s="454"/>
    </row>
    <row r="293" spans="1:21" ht="13.5" thickBot="1" x14ac:dyDescent="0.25">
      <c r="A293" s="6"/>
      <c r="B293" s="73" t="s">
        <v>91</v>
      </c>
      <c r="C293" s="294"/>
      <c r="D293" s="294"/>
      <c r="E293" s="81">
        <f ca="1">IF(F277="Bloqueado",0,IF(F280="Bloqueado",0,IF(F283="Bloqueado",0,F277+F280+F283)))</f>
        <v>0</v>
      </c>
      <c r="F293" s="82">
        <f ca="1">IF(Q4=0,"Bloqueado",IF(F283="ERRO","",E293))</f>
        <v>0</v>
      </c>
      <c r="G293" s="454"/>
      <c r="H293" s="454"/>
      <c r="I293" s="454"/>
      <c r="J293" s="454"/>
      <c r="K293" s="454"/>
      <c r="L293" s="454"/>
      <c r="M293" s="454"/>
    </row>
    <row r="294" spans="1:21" ht="12.75" customHeight="1" thickBot="1" x14ac:dyDescent="0.25">
      <c r="A294" s="6"/>
      <c r="B294" s="74" t="s">
        <v>150</v>
      </c>
      <c r="C294" s="448"/>
      <c r="D294" s="448"/>
      <c r="E294" s="7"/>
      <c r="F294" s="44"/>
      <c r="G294" s="454"/>
      <c r="H294" s="454"/>
      <c r="I294" s="454"/>
      <c r="J294" s="454"/>
      <c r="K294" s="454"/>
      <c r="L294" s="454"/>
      <c r="M294" s="454"/>
    </row>
    <row r="295" spans="1:21" x14ac:dyDescent="0.2">
      <c r="A295" s="6"/>
      <c r="B295" s="77" t="s">
        <v>151</v>
      </c>
      <c r="C295" s="295"/>
      <c r="D295" s="295"/>
      <c r="E295" s="83"/>
      <c r="F295" s="52">
        <f ca="1">IF(Q4=0,"Bloqueado",E297*0.015)</f>
        <v>0</v>
      </c>
      <c r="G295" s="454"/>
      <c r="H295" s="454"/>
      <c r="I295" s="454"/>
      <c r="J295" s="454"/>
      <c r="K295" s="454"/>
      <c r="L295" s="454"/>
      <c r="M295" s="454"/>
      <c r="O295" s="5">
        <f>COUNTA(E310,E312)</f>
        <v>0</v>
      </c>
    </row>
    <row r="296" spans="1:21" ht="6.75" customHeight="1" x14ac:dyDescent="0.2">
      <c r="A296" s="6"/>
      <c r="B296" s="29"/>
      <c r="C296" s="451"/>
      <c r="D296" s="451"/>
      <c r="E296" s="65"/>
      <c r="F296" s="25"/>
      <c r="G296" s="454"/>
      <c r="H296" s="454"/>
      <c r="I296" s="454"/>
      <c r="J296" s="454"/>
      <c r="K296" s="454"/>
      <c r="L296" s="454"/>
      <c r="M296" s="454"/>
    </row>
    <row r="297" spans="1:21" x14ac:dyDescent="0.2">
      <c r="A297" s="6"/>
      <c r="B297" s="29" t="s">
        <v>152</v>
      </c>
      <c r="C297" s="451"/>
      <c r="D297" s="451"/>
      <c r="E297" s="71"/>
      <c r="F297" s="25"/>
      <c r="G297" s="454"/>
      <c r="H297" s="456"/>
      <c r="I297" s="454"/>
      <c r="J297" s="454"/>
      <c r="K297" s="454"/>
      <c r="L297" s="454"/>
      <c r="M297" s="454"/>
    </row>
    <row r="298" spans="1:21" ht="12.75" customHeight="1" x14ac:dyDescent="0.2">
      <c r="A298" s="6"/>
      <c r="B298" s="29"/>
      <c r="C298" s="451"/>
      <c r="D298" s="451"/>
      <c r="E298" s="65"/>
      <c r="F298" s="25"/>
      <c r="G298" s="454"/>
      <c r="H298" s="454"/>
      <c r="I298" s="454"/>
      <c r="J298" s="454"/>
      <c r="K298" s="454"/>
      <c r="L298" s="454"/>
      <c r="M298" s="454"/>
    </row>
    <row r="299" spans="1:21" ht="13.5" customHeight="1" thickBot="1" x14ac:dyDescent="0.25">
      <c r="A299" s="6"/>
      <c r="B299" s="73" t="s">
        <v>91</v>
      </c>
      <c r="C299" s="294"/>
      <c r="D299" s="294"/>
      <c r="E299" s="84"/>
      <c r="F299" s="60">
        <f ca="1">IF(Q4=0,"Bloqueado",IF(F295&gt;846.44,846.44,F295))</f>
        <v>0</v>
      </c>
      <c r="G299" s="514" t="str">
        <f>IF(O299=0,"Escolher uma opção",IF(O299=1,"","Escolher APENAS uma opção"))</f>
        <v>Escolher uma opção</v>
      </c>
      <c r="H299" s="514"/>
      <c r="I299" s="514"/>
      <c r="J299" s="514"/>
      <c r="K299" s="514"/>
      <c r="L299" s="514"/>
      <c r="M299" s="452"/>
      <c r="O299" s="32">
        <f>F314+F316+F318</f>
        <v>0</v>
      </c>
    </row>
    <row r="300" spans="1:21" ht="12" customHeight="1" thickBot="1" x14ac:dyDescent="0.25">
      <c r="A300" s="6"/>
      <c r="B300" s="86" t="s">
        <v>153</v>
      </c>
      <c r="C300" s="448"/>
      <c r="D300" s="448"/>
      <c r="E300" s="7"/>
      <c r="F300" s="44"/>
      <c r="G300" s="454"/>
      <c r="H300" s="454"/>
      <c r="I300" s="454"/>
      <c r="J300" s="454"/>
      <c r="K300" s="454"/>
      <c r="L300" s="454"/>
      <c r="M300" s="454"/>
    </row>
    <row r="301" spans="1:21" ht="12.75" customHeight="1" x14ac:dyDescent="0.2">
      <c r="A301" s="6"/>
      <c r="B301" s="77" t="s">
        <v>154</v>
      </c>
      <c r="C301" s="295"/>
      <c r="D301" s="295"/>
      <c r="E301" s="87"/>
      <c r="F301" s="52">
        <f>E301</f>
        <v>0</v>
      </c>
      <c r="G301" s="454"/>
      <c r="H301" s="454"/>
      <c r="I301" s="454"/>
      <c r="J301" s="454"/>
      <c r="K301" s="454"/>
      <c r="L301" s="454"/>
      <c r="M301" s="454"/>
    </row>
    <row r="302" spans="1:21" ht="14.25" customHeight="1" x14ac:dyDescent="0.2">
      <c r="A302" s="6"/>
      <c r="B302" s="29"/>
      <c r="C302" s="451"/>
      <c r="D302" s="451"/>
      <c r="E302" s="7"/>
      <c r="F302" s="25"/>
      <c r="G302" s="454"/>
      <c r="H302" s="454"/>
      <c r="I302" s="454"/>
      <c r="J302" s="454"/>
      <c r="K302" s="454"/>
      <c r="L302" s="454"/>
      <c r="M302" s="454"/>
    </row>
    <row r="303" spans="1:21" ht="13.5" customHeight="1" x14ac:dyDescent="0.2">
      <c r="A303" s="6"/>
      <c r="B303" s="30" t="s">
        <v>155</v>
      </c>
      <c r="C303" s="12"/>
      <c r="D303" s="12"/>
      <c r="E303" s="7"/>
      <c r="F303" s="25">
        <f ca="1">IF(Q4=0,"Bloqueado",IF(F304&gt;846.44,846.44,F304))</f>
        <v>0</v>
      </c>
      <c r="G303" s="454"/>
      <c r="H303" s="454"/>
      <c r="I303" s="454"/>
      <c r="J303" s="454"/>
      <c r="K303" s="454"/>
      <c r="L303" s="454"/>
      <c r="M303" s="454"/>
    </row>
    <row r="304" spans="1:21" ht="12.75" customHeight="1" x14ac:dyDescent="0.2">
      <c r="A304" s="6"/>
      <c r="B304" s="29" t="s">
        <v>156</v>
      </c>
      <c r="C304" s="451"/>
      <c r="D304" s="451"/>
      <c r="E304" s="20"/>
      <c r="F304" s="79">
        <f>E304*0.05</f>
        <v>0</v>
      </c>
      <c r="G304" s="454"/>
      <c r="H304" s="454"/>
      <c r="I304" s="454"/>
      <c r="J304" s="454"/>
      <c r="K304" s="454"/>
      <c r="L304" s="454"/>
      <c r="M304" s="454"/>
    </row>
    <row r="305" spans="1:15" x14ac:dyDescent="0.2">
      <c r="A305" s="6"/>
      <c r="B305" s="29"/>
      <c r="C305" s="451"/>
      <c r="D305" s="451"/>
      <c r="E305" s="7"/>
      <c r="F305" s="25"/>
      <c r="G305" s="454"/>
      <c r="H305" s="454"/>
      <c r="I305" s="454"/>
      <c r="J305" s="454"/>
      <c r="K305" s="454"/>
      <c r="L305" s="454"/>
      <c r="M305" s="454"/>
    </row>
    <row r="306" spans="1:15" ht="15" customHeight="1" thickBot="1" x14ac:dyDescent="0.25">
      <c r="A306" s="6"/>
      <c r="B306" s="73" t="s">
        <v>91</v>
      </c>
      <c r="C306" s="294"/>
      <c r="D306" s="294"/>
      <c r="E306" s="84"/>
      <c r="F306" s="60">
        <f ca="1">IF(Q4=0,"Bloqueado",F301+F303)</f>
        <v>0</v>
      </c>
      <c r="G306" s="454"/>
      <c r="H306" s="454"/>
      <c r="I306" s="454"/>
      <c r="J306" s="454"/>
      <c r="K306" s="454"/>
      <c r="L306" s="454"/>
      <c r="M306" s="454"/>
    </row>
    <row r="307" spans="1:15" ht="15" customHeight="1" thickBot="1" x14ac:dyDescent="0.25">
      <c r="A307" s="6"/>
      <c r="B307" s="451"/>
      <c r="C307" s="451"/>
      <c r="D307" s="451"/>
      <c r="E307" s="7"/>
      <c r="F307" s="44"/>
      <c r="G307" s="454"/>
      <c r="H307" s="454"/>
      <c r="I307" s="454"/>
      <c r="J307" s="454"/>
      <c r="K307" s="454"/>
      <c r="L307" s="454"/>
      <c r="M307" s="454"/>
    </row>
    <row r="308" spans="1:15" ht="15" customHeight="1" thickBot="1" x14ac:dyDescent="0.25">
      <c r="A308" s="6"/>
      <c r="B308" s="74" t="s">
        <v>157</v>
      </c>
      <c r="C308" s="448"/>
      <c r="D308" s="448"/>
      <c r="E308" s="7"/>
      <c r="F308" s="44"/>
      <c r="G308" s="454"/>
      <c r="H308" s="454"/>
      <c r="I308" s="454"/>
      <c r="J308" s="454"/>
      <c r="K308" s="454"/>
      <c r="L308" s="454"/>
      <c r="M308" s="454"/>
    </row>
    <row r="309" spans="1:15" ht="15.75" customHeight="1" thickBot="1" x14ac:dyDescent="0.25">
      <c r="A309" s="6"/>
      <c r="B309" s="88" t="s">
        <v>158</v>
      </c>
      <c r="C309" s="297"/>
      <c r="D309" s="297"/>
      <c r="E309" s="7"/>
      <c r="F309" s="44"/>
      <c r="G309" s="454"/>
      <c r="H309" s="454"/>
      <c r="I309" s="454"/>
      <c r="J309" s="454"/>
      <c r="K309" s="454"/>
      <c r="L309" s="454"/>
      <c r="M309" s="454"/>
    </row>
    <row r="310" spans="1:15" ht="25.5" customHeight="1" x14ac:dyDescent="0.2">
      <c r="A310" s="6"/>
      <c r="B310" s="62" t="s">
        <v>159</v>
      </c>
      <c r="C310" s="298"/>
      <c r="D310" s="298"/>
      <c r="E310" s="46"/>
      <c r="F310" s="47"/>
      <c r="G310" s="454"/>
      <c r="H310" s="454"/>
      <c r="I310" s="454"/>
      <c r="J310" s="454"/>
      <c r="K310" s="454"/>
      <c r="L310" s="454"/>
      <c r="M310" s="454"/>
    </row>
    <row r="311" spans="1:15" x14ac:dyDescent="0.2">
      <c r="A311" s="6"/>
      <c r="B311" s="18"/>
      <c r="C311" s="50"/>
      <c r="D311" s="50"/>
      <c r="E311" s="31"/>
      <c r="F311" s="28"/>
      <c r="G311" s="454"/>
      <c r="H311" s="454"/>
      <c r="I311" s="454"/>
      <c r="J311" s="454"/>
      <c r="K311" s="454"/>
      <c r="L311" s="454"/>
      <c r="M311" s="454"/>
    </row>
    <row r="312" spans="1:15" ht="12" customHeight="1" thickBot="1" x14ac:dyDescent="0.25">
      <c r="A312" s="6"/>
      <c r="B312" s="89" t="s">
        <v>160</v>
      </c>
      <c r="C312" s="299"/>
      <c r="D312" s="299"/>
      <c r="E312" s="49"/>
      <c r="F312" s="38"/>
      <c r="G312" s="454"/>
      <c r="H312" s="454"/>
      <c r="I312" s="454"/>
      <c r="J312" s="454"/>
      <c r="K312" s="454"/>
      <c r="L312" s="454"/>
      <c r="M312" s="454"/>
    </row>
    <row r="313" spans="1:15" ht="13.5" thickBot="1" x14ac:dyDescent="0.25">
      <c r="A313" s="6"/>
      <c r="B313" s="90" t="s">
        <v>161</v>
      </c>
      <c r="C313" s="300"/>
      <c r="D313" s="300"/>
      <c r="E313" s="7"/>
      <c r="F313" s="44"/>
      <c r="G313" s="454"/>
      <c r="H313" s="454"/>
      <c r="I313" s="454"/>
      <c r="J313" s="454"/>
      <c r="K313" s="454"/>
      <c r="L313" s="454"/>
      <c r="M313" s="454"/>
    </row>
    <row r="314" spans="1:15" ht="14.25" customHeight="1" x14ac:dyDescent="0.2">
      <c r="A314" s="6"/>
      <c r="B314" s="15" t="s">
        <v>162</v>
      </c>
      <c r="C314" s="279"/>
      <c r="D314" s="279"/>
      <c r="E314" s="16"/>
      <c r="F314" s="91">
        <f>COUNTA(E314)</f>
        <v>0</v>
      </c>
      <c r="G314" s="454"/>
      <c r="H314" s="454"/>
      <c r="I314" s="454"/>
      <c r="J314" s="454"/>
      <c r="K314" s="454"/>
      <c r="L314" s="454"/>
      <c r="M314" s="454"/>
    </row>
    <row r="315" spans="1:15" x14ac:dyDescent="0.2">
      <c r="A315" s="6"/>
      <c r="B315" s="18"/>
      <c r="C315" s="50"/>
      <c r="D315" s="50"/>
      <c r="E315" s="7"/>
      <c r="F315" s="79"/>
      <c r="G315" s="454"/>
      <c r="H315" s="454"/>
      <c r="I315" s="454"/>
      <c r="J315" s="454"/>
      <c r="K315" s="454"/>
      <c r="L315" s="454"/>
      <c r="M315" s="454"/>
    </row>
    <row r="316" spans="1:15" ht="9.75" customHeight="1" x14ac:dyDescent="0.2">
      <c r="A316" s="6"/>
      <c r="B316" s="18" t="s">
        <v>163</v>
      </c>
      <c r="C316" s="50"/>
      <c r="D316" s="50"/>
      <c r="E316" s="71"/>
      <c r="F316" s="79">
        <f>COUNTA(E316)</f>
        <v>0</v>
      </c>
      <c r="G316" s="454"/>
      <c r="H316" s="454"/>
      <c r="I316" s="454"/>
      <c r="J316" s="454"/>
      <c r="K316" s="454"/>
      <c r="L316" s="454"/>
      <c r="M316" s="454"/>
    </row>
    <row r="317" spans="1:15" x14ac:dyDescent="0.2">
      <c r="A317" s="6"/>
      <c r="B317" s="18"/>
      <c r="C317" s="50"/>
      <c r="D317" s="50"/>
      <c r="E317" s="7"/>
      <c r="F317" s="79"/>
      <c r="G317" s="454"/>
      <c r="H317" s="454"/>
      <c r="I317" s="454"/>
      <c r="J317" s="454"/>
      <c r="K317" s="454"/>
      <c r="L317" s="454"/>
      <c r="M317" s="454"/>
      <c r="O317" s="32">
        <f ca="1">SUM(F320:F331)</f>
        <v>0</v>
      </c>
    </row>
    <row r="318" spans="1:15" ht="13.5" thickBot="1" x14ac:dyDescent="0.25">
      <c r="A318" s="6"/>
      <c r="B318" s="63" t="s">
        <v>164</v>
      </c>
      <c r="C318" s="301"/>
      <c r="D318" s="301"/>
      <c r="E318" s="64"/>
      <c r="F318" s="92">
        <f>COUNTA(E318)</f>
        <v>0</v>
      </c>
      <c r="G318" s="454"/>
      <c r="H318" s="454"/>
      <c r="I318" s="454"/>
      <c r="J318" s="454"/>
      <c r="K318" s="454"/>
      <c r="L318" s="454"/>
      <c r="M318" s="454"/>
    </row>
    <row r="319" spans="1:15" ht="13.5" thickBot="1" x14ac:dyDescent="0.25">
      <c r="A319" s="6"/>
      <c r="B319" s="88" t="s">
        <v>165</v>
      </c>
      <c r="C319" s="297"/>
      <c r="D319" s="297"/>
      <c r="E319" s="7"/>
      <c r="F319" s="44"/>
      <c r="G319" s="85"/>
      <c r="H319" s="454"/>
      <c r="I319" s="454"/>
      <c r="J319" s="454"/>
      <c r="K319" s="454"/>
      <c r="L319" s="454"/>
      <c r="M319" s="454"/>
    </row>
    <row r="320" spans="1:15" ht="11.25" customHeight="1" x14ac:dyDescent="0.2">
      <c r="A320" s="6"/>
      <c r="B320" s="15" t="s">
        <v>166</v>
      </c>
      <c r="C320" s="279"/>
      <c r="D320" s="279"/>
      <c r="E320" s="93"/>
      <c r="F320" s="52"/>
      <c r="G320" s="454"/>
      <c r="H320" s="454"/>
      <c r="I320" s="454"/>
      <c r="J320" s="454"/>
      <c r="K320" s="454"/>
      <c r="L320" s="454"/>
      <c r="M320" s="454"/>
    </row>
    <row r="321" spans="1:20" x14ac:dyDescent="0.2">
      <c r="A321" s="6"/>
      <c r="B321" s="18"/>
      <c r="C321" s="50"/>
      <c r="D321" s="50"/>
      <c r="E321" s="7"/>
      <c r="F321" s="25"/>
      <c r="G321" s="454"/>
      <c r="H321" s="454"/>
      <c r="I321" s="454"/>
      <c r="J321" s="454"/>
      <c r="K321" s="454"/>
      <c r="L321" s="454"/>
      <c r="M321" s="454"/>
    </row>
    <row r="322" spans="1:20" ht="11.25" customHeight="1" x14ac:dyDescent="0.2">
      <c r="A322" s="6"/>
      <c r="B322" s="22" t="s">
        <v>167</v>
      </c>
      <c r="C322" s="131"/>
      <c r="D322" s="131"/>
      <c r="E322" s="20"/>
      <c r="F322" s="25">
        <f ca="1">IF(Q4=0,"Bloqueado",E322*349.09)</f>
        <v>0</v>
      </c>
      <c r="G322" s="454"/>
      <c r="H322" s="454"/>
      <c r="I322" s="454"/>
      <c r="J322" s="454"/>
      <c r="K322" s="454"/>
      <c r="L322" s="454"/>
      <c r="M322" s="454"/>
      <c r="O322" s="1"/>
    </row>
    <row r="323" spans="1:20" ht="18" customHeight="1" x14ac:dyDescent="0.2">
      <c r="A323" s="6"/>
      <c r="B323" s="22"/>
      <c r="C323" s="131"/>
      <c r="D323" s="131"/>
      <c r="E323" s="7"/>
      <c r="F323" s="25"/>
      <c r="G323" s="454"/>
      <c r="H323" s="454"/>
      <c r="I323" s="454"/>
      <c r="J323" s="454"/>
      <c r="K323" s="454"/>
      <c r="L323" s="454"/>
      <c r="M323" s="454"/>
      <c r="O323" s="32">
        <f ca="1">F332+F346</f>
        <v>0</v>
      </c>
    </row>
    <row r="324" spans="1:20" ht="12.75" customHeight="1" x14ac:dyDescent="0.2">
      <c r="A324" s="6"/>
      <c r="B324" s="22" t="s">
        <v>168</v>
      </c>
      <c r="C324" s="131"/>
      <c r="D324" s="131"/>
      <c r="E324" s="20"/>
      <c r="F324" s="25">
        <f ca="1">IF(Q4=0,"Bloqueado",E324*283.23)</f>
        <v>0</v>
      </c>
      <c r="G324" s="454"/>
      <c r="H324" s="454"/>
      <c r="I324" s="454"/>
      <c r="J324" s="454"/>
      <c r="K324" s="454"/>
      <c r="L324" s="454"/>
      <c r="M324" s="454"/>
    </row>
    <row r="325" spans="1:20" x14ac:dyDescent="0.2">
      <c r="A325" s="6"/>
      <c r="B325" s="18"/>
      <c r="C325" s="50"/>
      <c r="D325" s="50"/>
      <c r="E325" s="7"/>
      <c r="F325" s="25"/>
      <c r="G325" s="454"/>
      <c r="H325" s="454"/>
      <c r="I325" s="454"/>
      <c r="J325" s="454"/>
      <c r="K325" s="454"/>
      <c r="L325" s="454"/>
      <c r="M325" s="454"/>
      <c r="O325" s="32">
        <f ca="1">SUM(F334:F345)</f>
        <v>0</v>
      </c>
    </row>
    <row r="326" spans="1:20" ht="15" customHeight="1" x14ac:dyDescent="0.2">
      <c r="A326" s="6"/>
      <c r="B326" s="18" t="s">
        <v>169</v>
      </c>
      <c r="C326" s="50"/>
      <c r="D326" s="50"/>
      <c r="E326" s="20"/>
      <c r="F326" s="25">
        <f ca="1">IF(Q4=0,"Bloqueado",E326*424.89)</f>
        <v>0</v>
      </c>
      <c r="G326" s="454"/>
      <c r="H326" s="454"/>
      <c r="I326" s="454"/>
      <c r="J326" s="454"/>
      <c r="K326" s="454"/>
      <c r="L326" s="454"/>
      <c r="M326" s="454"/>
    </row>
    <row r="327" spans="1:20" x14ac:dyDescent="0.2">
      <c r="A327" s="6"/>
      <c r="B327" s="18"/>
      <c r="C327" s="50"/>
      <c r="D327" s="50"/>
      <c r="E327" s="7"/>
      <c r="F327" s="25"/>
      <c r="G327" s="454"/>
      <c r="H327" s="454"/>
      <c r="I327" s="454"/>
      <c r="J327" s="454"/>
      <c r="K327" s="454"/>
      <c r="L327" s="454"/>
      <c r="M327" s="454"/>
      <c r="O327" s="32">
        <f ca="1">IF(O295=0,O325,O325/2)</f>
        <v>0</v>
      </c>
    </row>
    <row r="328" spans="1:20" ht="9.75" customHeight="1" x14ac:dyDescent="0.2">
      <c r="A328" s="6"/>
      <c r="B328" s="18" t="s">
        <v>170</v>
      </c>
      <c r="C328" s="50"/>
      <c r="D328" s="50"/>
      <c r="E328" s="20"/>
      <c r="F328" s="25">
        <f ca="1">IF(Q4=0,"Bloqueado",E328*141.63)</f>
        <v>0</v>
      </c>
      <c r="G328" s="454"/>
      <c r="H328" s="454"/>
      <c r="I328" s="454"/>
      <c r="J328" s="454"/>
      <c r="K328" s="454"/>
      <c r="L328" s="454"/>
      <c r="M328" s="454"/>
    </row>
    <row r="329" spans="1:20" x14ac:dyDescent="0.2">
      <c r="A329" s="6"/>
      <c r="B329" s="18"/>
      <c r="C329" s="50"/>
      <c r="D329" s="50"/>
      <c r="E329" s="7"/>
      <c r="F329" s="25"/>
      <c r="G329" s="454"/>
      <c r="H329" s="454"/>
      <c r="I329" s="454"/>
      <c r="J329" s="454"/>
      <c r="K329" s="454"/>
      <c r="L329" s="454"/>
      <c r="M329" s="454"/>
    </row>
    <row r="330" spans="1:20" ht="11.25" customHeight="1" x14ac:dyDescent="0.2">
      <c r="A330" s="6"/>
      <c r="B330" s="18" t="s">
        <v>171</v>
      </c>
      <c r="C330" s="50"/>
      <c r="D330" s="50"/>
      <c r="E330" s="20"/>
      <c r="F330" s="25">
        <f ca="1">IF(Q4=0,"Bloqueado",E330*26.32)</f>
        <v>0</v>
      </c>
      <c r="G330" s="454"/>
      <c r="H330" s="454"/>
      <c r="I330" s="454"/>
      <c r="J330" s="454"/>
      <c r="K330" s="454"/>
      <c r="L330" s="454"/>
      <c r="M330" s="454"/>
    </row>
    <row r="331" spans="1:20" x14ac:dyDescent="0.2">
      <c r="A331" s="6"/>
      <c r="B331" s="18"/>
      <c r="C331" s="50"/>
      <c r="D331" s="50"/>
      <c r="E331" s="7"/>
      <c r="F331" s="25"/>
      <c r="G331" s="454"/>
      <c r="H331" s="454"/>
      <c r="I331" s="454"/>
      <c r="J331" s="454"/>
      <c r="K331" s="454"/>
      <c r="L331" s="454"/>
      <c r="M331" s="454"/>
      <c r="Q331" s="4">
        <v>2012</v>
      </c>
      <c r="R331" s="4">
        <v>2.2751999999999999</v>
      </c>
    </row>
    <row r="332" spans="1:20" ht="13.5" thickBot="1" x14ac:dyDescent="0.25">
      <c r="A332" s="6"/>
      <c r="B332" s="73" t="s">
        <v>91</v>
      </c>
      <c r="C332" s="294"/>
      <c r="D332" s="294"/>
      <c r="E332" s="59"/>
      <c r="F332" s="60">
        <f ca="1">IF(Q4=0,"Bloqueado",IF(O295=0,O317,O317/2))</f>
        <v>0</v>
      </c>
      <c r="G332" s="95"/>
      <c r="H332" s="454"/>
      <c r="I332" s="454"/>
      <c r="J332" s="454"/>
      <c r="K332" s="454"/>
      <c r="L332" s="454"/>
      <c r="M332" s="454"/>
      <c r="Q332" s="4">
        <v>2013</v>
      </c>
      <c r="R332" s="4">
        <v>2.4066000000000001</v>
      </c>
    </row>
    <row r="333" spans="1:20" ht="26.25" thickBot="1" x14ac:dyDescent="0.25">
      <c r="A333" s="6"/>
      <c r="B333" s="90" t="s">
        <v>172</v>
      </c>
      <c r="C333" s="300"/>
      <c r="D333" s="300"/>
      <c r="E333" s="7"/>
      <c r="F333" s="35"/>
      <c r="G333" s="454"/>
      <c r="H333" s="454"/>
      <c r="I333" s="454"/>
      <c r="J333" s="454"/>
      <c r="K333" s="454"/>
      <c r="L333" s="454"/>
      <c r="M333" s="454"/>
      <c r="Q333" s="4">
        <v>2014</v>
      </c>
      <c r="R333" s="4">
        <v>2.5472999999999999</v>
      </c>
    </row>
    <row r="334" spans="1:20" x14ac:dyDescent="0.2">
      <c r="A334" s="6"/>
      <c r="B334" s="15" t="s">
        <v>166</v>
      </c>
      <c r="C334" s="279"/>
      <c r="D334" s="279"/>
      <c r="E334" s="93"/>
      <c r="F334" s="52"/>
      <c r="G334" s="427"/>
      <c r="H334" s="454"/>
      <c r="I334" s="454"/>
      <c r="J334" s="454"/>
      <c r="K334" s="454"/>
      <c r="L334" s="454"/>
      <c r="M334" s="454"/>
      <c r="Q334" s="4">
        <v>2015</v>
      </c>
      <c r="R334" s="4">
        <v>2.7119</v>
      </c>
      <c r="T334" s="4" t="s">
        <v>173</v>
      </c>
    </row>
    <row r="335" spans="1:20" x14ac:dyDescent="0.2">
      <c r="A335" s="6"/>
      <c r="B335" s="18"/>
      <c r="C335" s="50"/>
      <c r="D335" s="50"/>
      <c r="E335" s="7"/>
      <c r="F335" s="25"/>
      <c r="G335" s="431"/>
      <c r="H335" s="428"/>
      <c r="I335" s="428"/>
      <c r="J335" s="428"/>
      <c r="K335" s="428"/>
      <c r="L335" s="454"/>
      <c r="M335" s="454"/>
      <c r="O335" s="5">
        <f ca="1">(IF(F353="ERRO",1,IF(F355="ERRO",1,IF(F357="ERRO",1,0))))</f>
        <v>0</v>
      </c>
      <c r="Q335" s="4">
        <v>2016</v>
      </c>
      <c r="R335" s="4">
        <v>3.0023</v>
      </c>
    </row>
    <row r="336" spans="1:20" ht="12.75" customHeight="1" x14ac:dyDescent="0.2">
      <c r="A336" s="6"/>
      <c r="B336" s="22" t="s">
        <v>167</v>
      </c>
      <c r="C336" s="131"/>
      <c r="D336" s="131"/>
      <c r="E336" s="20"/>
      <c r="F336" s="25">
        <f ca="1">IF(Q4=0,"Bloqueado",E336*349.09)</f>
        <v>0</v>
      </c>
      <c r="G336" s="454"/>
      <c r="H336" s="454"/>
      <c r="I336" s="454"/>
      <c r="J336" s="454"/>
      <c r="K336" s="454"/>
      <c r="L336" s="454"/>
      <c r="M336" s="454"/>
      <c r="Q336" s="4">
        <v>2017</v>
      </c>
      <c r="R336" s="4">
        <v>3.1999</v>
      </c>
    </row>
    <row r="337" spans="1:24" ht="6" customHeight="1" x14ac:dyDescent="0.2">
      <c r="A337" s="6"/>
      <c r="B337" s="22"/>
      <c r="C337" s="131"/>
      <c r="D337" s="131"/>
      <c r="E337" s="462"/>
      <c r="F337" s="25"/>
      <c r="G337" s="454"/>
      <c r="H337" s="454"/>
      <c r="I337" s="454"/>
      <c r="J337" s="454"/>
      <c r="K337" s="454"/>
      <c r="L337" s="454"/>
      <c r="M337" s="454"/>
    </row>
    <row r="338" spans="1:24" x14ac:dyDescent="0.2">
      <c r="A338" s="6"/>
      <c r="B338" s="22" t="s">
        <v>168</v>
      </c>
      <c r="C338" s="131"/>
      <c r="D338" s="131"/>
      <c r="E338" s="20"/>
      <c r="F338" s="25">
        <f ca="1">IF(Q4=0,"Bloqueado",E338*283.23)</f>
        <v>0</v>
      </c>
      <c r="G338" s="462"/>
      <c r="H338" s="512"/>
      <c r="I338" s="512"/>
      <c r="J338" s="512"/>
      <c r="K338" s="512"/>
      <c r="L338" s="454"/>
      <c r="M338" s="454"/>
      <c r="N338" s="5"/>
      <c r="O338" s="99">
        <f>IF(G353=0,0,IF(G353=1999,0.977,IF(G353=2000,1.0641,IF(G353=2001,1.1283,IF(G353=2002,1.213,IF(G353=2003,1.3584,IF(G353=2004,1.4924,IF(G353=2005,1.6049,P338))))))))</f>
        <v>0</v>
      </c>
      <c r="P338" s="5" t="str">
        <f>IF(G353=2006,1.6992,IF(G353=2007,1.7495,IF(G353=2008,1.8258,IF(G353=2009,1.9372,IF(G353=2010,2.0183,IF(G353=2011,2.1352,IF(G353=2012,2.2752,IF(G353=2013,2.4066,Q338))))))))</f>
        <v>O ano não está correto para o intervalo</v>
      </c>
      <c r="Q338" s="5" t="str">
        <f>IF(G353=2014,2.5473,IF(G353=2015,2.7119,IF(G353=2016,3.0023,IF(G353=2017,3.1999,IF(G353=2018,1,"O ano não está correto para o intervalo")))))</f>
        <v>O ano não está correto para o intervalo</v>
      </c>
      <c r="U338" s="5"/>
    </row>
    <row r="339" spans="1:24" ht="6.75" customHeight="1" x14ac:dyDescent="0.2">
      <c r="A339" s="6"/>
      <c r="B339" s="18"/>
      <c r="C339" s="50"/>
      <c r="D339" s="50"/>
      <c r="E339" s="7"/>
      <c r="F339" s="25"/>
      <c r="G339" s="430"/>
      <c r="H339" s="512"/>
      <c r="I339" s="512"/>
      <c r="J339" s="512"/>
      <c r="K339" s="512"/>
      <c r="L339" s="454"/>
      <c r="M339" s="454"/>
      <c r="N339" s="5"/>
      <c r="O339" s="99"/>
      <c r="P339" s="5"/>
      <c r="Q339" s="5"/>
      <c r="U339" s="5"/>
    </row>
    <row r="340" spans="1:24" x14ac:dyDescent="0.2">
      <c r="A340" s="6"/>
      <c r="B340" s="18" t="s">
        <v>169</v>
      </c>
      <c r="C340" s="50"/>
      <c r="D340" s="50"/>
      <c r="E340" s="20"/>
      <c r="F340" s="25">
        <f ca="1">IF(Q4=0,"Bloqueado",E340*424.89)</f>
        <v>0</v>
      </c>
      <c r="G340" s="462"/>
      <c r="H340" s="512"/>
      <c r="I340" s="512"/>
      <c r="J340" s="512"/>
      <c r="K340" s="512"/>
      <c r="L340" s="454"/>
      <c r="M340" s="454"/>
      <c r="N340" s="5"/>
      <c r="O340" s="99">
        <f>IF(G355=0,0,IF(G355=1999,0.977,IF(G355=2000,1.0641,IF(G355=2001,1.1283,IF(G355=2002,1.213,IF(G355=2003,1.3584,IF(G355=2004,1.4924,IF(G355=2005,1.6049,P340))))))))</f>
        <v>0</v>
      </c>
      <c r="P340" s="5" t="str">
        <f>IF(G355=2006,1.6992,IF(G355=2007,1.7495,IF(G355=2008,1.8258,IF(G355=2009,1.9372,IF(G355=2010,2.0183,IF(G355=2011,2.1352,IF(G355=2012,2.2752,IF(G355=2013,2.4066,Q340))))))))</f>
        <v>O ano não está correto para o intervalo</v>
      </c>
      <c r="Q340" s="5" t="str">
        <f>IF(G355=2014,2.5473,IF(G355=2015,2.7119,IF(G355=2016,3.0023,IF(G355=2017,3.1999,IF(G355=2018,1,"O ano não está correto para o intervalo")))))</f>
        <v>O ano não está correto para o intervalo</v>
      </c>
      <c r="U340" s="5"/>
    </row>
    <row r="341" spans="1:24" ht="6.75" customHeight="1" x14ac:dyDescent="0.2">
      <c r="A341" s="6"/>
      <c r="B341" s="18"/>
      <c r="C341" s="50"/>
      <c r="D341" s="50"/>
      <c r="E341" s="7"/>
      <c r="F341" s="25"/>
      <c r="G341" s="430"/>
      <c r="H341" s="512"/>
      <c r="I341" s="512"/>
      <c r="J341" s="512"/>
      <c r="K341" s="512"/>
      <c r="L341" s="454"/>
      <c r="M341" s="454"/>
      <c r="N341" s="5"/>
      <c r="O341" s="99"/>
      <c r="P341" s="5"/>
      <c r="Q341" s="5"/>
      <c r="U341" s="5"/>
    </row>
    <row r="342" spans="1:24" x14ac:dyDescent="0.2">
      <c r="A342" s="6"/>
      <c r="B342" s="18" t="s">
        <v>170</v>
      </c>
      <c r="C342" s="50"/>
      <c r="D342" s="50"/>
      <c r="E342" s="20"/>
      <c r="F342" s="25">
        <f ca="1">IF(Q4=0,"Bloqueado",E342*141.63)</f>
        <v>0</v>
      </c>
      <c r="G342" s="462"/>
      <c r="H342" s="512"/>
      <c r="I342" s="512"/>
      <c r="J342" s="512"/>
      <c r="K342" s="512"/>
      <c r="L342" s="454"/>
      <c r="M342" s="454"/>
      <c r="N342" s="5"/>
      <c r="O342" s="99">
        <f>IF(G357=0,0,IF(G357=1999,0.977,IF(G357=2000,1.0641,IF(G357=2001,1.1283,IF(G357=2002,1.213,IF(G357=2003,1.3584,IF(G357=2004,1.4924,IF(G357=2005,1.6049,P342))))))))</f>
        <v>0</v>
      </c>
      <c r="P342" s="5" t="str">
        <f>IF(G357=2006,1.6992,IF(G357=2007,1.7495,IF(G357=2008,1.8258,IF(G357=2009,1.9372,IF(G357=2010,2.0183,IF(G357=2011,2.1352,IF(G357=2012,2.2752,IF(G357=2013,2.4066,Q342))))))))</f>
        <v>O ano não está correto para o intervalo</v>
      </c>
      <c r="Q342" s="5" t="str">
        <f>IF(G357=2014,2.5473,IF(G357=2015,2.7119,IF(G357=2016,3.0023,IF(G357=2017,3.1999,IF(G357=2018,1,"O ano não está correto para o intervalo")))))</f>
        <v>O ano não está correto para o intervalo</v>
      </c>
      <c r="U342" s="5"/>
    </row>
    <row r="343" spans="1:24" ht="6.75" customHeight="1" x14ac:dyDescent="0.2">
      <c r="A343" s="6"/>
      <c r="B343" s="18"/>
      <c r="C343" s="50"/>
      <c r="D343" s="50"/>
      <c r="E343" s="7"/>
      <c r="F343" s="25"/>
      <c r="G343" s="454"/>
      <c r="H343" s="454"/>
      <c r="I343" s="454"/>
      <c r="J343" s="454"/>
      <c r="K343" s="454"/>
      <c r="L343" s="454"/>
      <c r="M343" s="454"/>
    </row>
    <row r="344" spans="1:24" x14ac:dyDescent="0.2">
      <c r="A344" s="6"/>
      <c r="B344" s="18" t="s">
        <v>171</v>
      </c>
      <c r="C344" s="50"/>
      <c r="D344" s="50"/>
      <c r="E344" s="27"/>
      <c r="F344" s="28">
        <f ca="1">IF(Q4=0,"Bloqueado",E344*26.32)</f>
        <v>0</v>
      </c>
      <c r="G344" s="454"/>
      <c r="H344" s="454"/>
      <c r="I344" s="454"/>
      <c r="J344" s="454"/>
      <c r="K344" s="454"/>
      <c r="L344" s="454"/>
      <c r="M344" s="454"/>
    </row>
    <row r="345" spans="1:24" ht="6.75" customHeight="1" x14ac:dyDescent="0.2">
      <c r="A345" s="6"/>
      <c r="B345" s="18"/>
      <c r="C345" s="50"/>
      <c r="D345" s="50"/>
      <c r="E345" s="7"/>
      <c r="F345" s="25"/>
      <c r="G345" s="454"/>
      <c r="H345" s="454"/>
      <c r="I345" s="454"/>
      <c r="J345" s="454"/>
      <c r="K345" s="454"/>
      <c r="L345" s="454"/>
      <c r="M345" s="454"/>
      <c r="Q345" s="1"/>
      <c r="S345" s="1"/>
    </row>
    <row r="346" spans="1:24" ht="13.5" thickBot="1" x14ac:dyDescent="0.25">
      <c r="A346" s="6"/>
      <c r="B346" s="73" t="s">
        <v>91</v>
      </c>
      <c r="C346" s="294"/>
      <c r="D346" s="294"/>
      <c r="E346" s="94"/>
      <c r="F346" s="433">
        <f ca="1">IF(Q4=0,"Bloqueado",IF(O327/5&gt;596.61,596.61,O327/5))</f>
        <v>0</v>
      </c>
      <c r="G346" s="454"/>
      <c r="H346" s="454"/>
      <c r="I346" s="454"/>
      <c r="J346" s="454"/>
      <c r="K346" s="454"/>
      <c r="L346" s="454"/>
      <c r="M346" s="454"/>
      <c r="Q346" s="101" t="s">
        <v>175</v>
      </c>
      <c r="R346" s="102"/>
      <c r="S346" s="103">
        <v>80.19</v>
      </c>
      <c r="T346" s="4">
        <v>77.900000000000006</v>
      </c>
      <c r="X346" s="4"/>
    </row>
    <row r="347" spans="1:24" ht="6.75" customHeight="1" thickBot="1" x14ac:dyDescent="0.25">
      <c r="A347" s="6"/>
      <c r="B347" s="50"/>
      <c r="C347" s="50"/>
      <c r="D347" s="50"/>
      <c r="E347" s="7"/>
      <c r="F347" s="44"/>
      <c r="G347" s="454"/>
      <c r="H347" s="454"/>
      <c r="I347" s="454"/>
      <c r="J347" s="454"/>
      <c r="K347" s="454"/>
      <c r="L347" s="454"/>
      <c r="M347" s="454"/>
      <c r="Q347" s="104"/>
      <c r="X347" s="4"/>
    </row>
    <row r="348" spans="1:24" ht="12.75" customHeight="1" thickBot="1" x14ac:dyDescent="0.3">
      <c r="A348" s="6"/>
      <c r="B348" s="96" t="s">
        <v>176</v>
      </c>
      <c r="C348" s="302"/>
      <c r="D348" s="302"/>
      <c r="E348" s="7"/>
      <c r="F348" s="44"/>
      <c r="G348" s="454"/>
      <c r="H348" s="454"/>
      <c r="I348" s="454"/>
      <c r="J348" s="454"/>
      <c r="K348" s="454"/>
      <c r="L348" s="454"/>
      <c r="M348" s="454"/>
      <c r="Q348" s="101" t="s">
        <v>177</v>
      </c>
      <c r="R348" s="102"/>
      <c r="S348" s="103">
        <v>36451.53</v>
      </c>
      <c r="T348" s="4">
        <v>35411.29</v>
      </c>
      <c r="X348" s="4"/>
    </row>
    <row r="349" spans="1:24" ht="10.5" customHeight="1" thickBot="1" x14ac:dyDescent="0.25">
      <c r="A349" s="6"/>
      <c r="B349" s="346" t="s">
        <v>178</v>
      </c>
      <c r="C349" s="303"/>
      <c r="D349" s="303"/>
      <c r="E349" s="7"/>
      <c r="F349" s="44"/>
      <c r="G349" s="429"/>
      <c r="H349" s="454"/>
      <c r="I349" s="454"/>
      <c r="J349" s="454"/>
      <c r="K349" s="454"/>
      <c r="L349" s="454"/>
      <c r="M349" s="454"/>
    </row>
    <row r="350" spans="1:24" ht="13.5" thickBot="1" x14ac:dyDescent="0.25">
      <c r="A350" s="6"/>
      <c r="B350" s="88" t="s">
        <v>179</v>
      </c>
      <c r="C350" s="297"/>
      <c r="D350" s="297"/>
      <c r="E350" s="7"/>
      <c r="F350" s="44"/>
      <c r="G350" s="97" t="s">
        <v>174</v>
      </c>
      <c r="H350" s="542" t="s">
        <v>370</v>
      </c>
      <c r="I350" s="542"/>
      <c r="J350" s="542"/>
      <c r="K350" s="542"/>
      <c r="L350" s="7"/>
      <c r="M350" s="7"/>
    </row>
    <row r="351" spans="1:24" x14ac:dyDescent="0.2">
      <c r="A351" s="6"/>
      <c r="B351" s="261" t="s">
        <v>180</v>
      </c>
      <c r="C351" s="304"/>
      <c r="D351" s="304"/>
      <c r="E351" s="262"/>
      <c r="F351" s="263">
        <f ca="1">IF(Q4=0,"Bloqueado",E351*954)</f>
        <v>0</v>
      </c>
      <c r="G351" s="423"/>
      <c r="H351" s="432"/>
      <c r="I351" s="454"/>
      <c r="J351" s="454"/>
      <c r="K351" s="454"/>
      <c r="L351" s="454"/>
      <c r="M351" s="454"/>
    </row>
    <row r="352" spans="1:24" ht="15" customHeight="1" x14ac:dyDescent="0.2">
      <c r="A352" s="6"/>
      <c r="B352" s="264"/>
      <c r="C352" s="131"/>
      <c r="D352" s="131"/>
      <c r="E352" s="44"/>
      <c r="F352" s="265"/>
      <c r="G352" s="424"/>
      <c r="H352" s="432"/>
      <c r="I352" s="454"/>
      <c r="J352" s="454"/>
      <c r="K352" s="454"/>
      <c r="L352" s="454"/>
      <c r="M352" s="454"/>
    </row>
    <row r="353" spans="1:15" ht="15" x14ac:dyDescent="0.25">
      <c r="A353" s="6"/>
      <c r="B353" s="264" t="s">
        <v>181</v>
      </c>
      <c r="C353" s="131"/>
      <c r="D353" s="131"/>
      <c r="E353" s="98"/>
      <c r="F353" s="265">
        <f ca="1">IF(Q4=0,"Bloqueado",IF(H353="O ano não está correto para o intervalo","ERRO",IF(G353=2018,E353,IF(G353="",E353,ROUNDDOWN((E353/O338)*3.2939,2)))))</f>
        <v>0</v>
      </c>
      <c r="G353" s="425"/>
      <c r="H353" s="512"/>
      <c r="I353" s="512"/>
      <c r="J353" s="512"/>
      <c r="K353" s="512"/>
      <c r="L353" s="422"/>
      <c r="M353" s="422"/>
      <c r="O353" s="5">
        <f>COUNTA(E368:E370)</f>
        <v>0</v>
      </c>
    </row>
    <row r="354" spans="1:15" ht="6.75" customHeight="1" x14ac:dyDescent="0.2">
      <c r="A354" s="6"/>
      <c r="B354" s="264"/>
      <c r="C354" s="131"/>
      <c r="D354" s="131"/>
      <c r="E354" s="44"/>
      <c r="F354" s="265"/>
      <c r="G354" s="424"/>
      <c r="H354" s="454"/>
      <c r="I354" s="454"/>
      <c r="J354" s="454"/>
      <c r="K354" s="454"/>
      <c r="L354" s="454"/>
      <c r="M354" s="454"/>
    </row>
    <row r="355" spans="1:15" x14ac:dyDescent="0.2">
      <c r="A355" s="6"/>
      <c r="B355" s="264" t="s">
        <v>181</v>
      </c>
      <c r="C355" s="131"/>
      <c r="D355" s="131"/>
      <c r="E355" s="100"/>
      <c r="F355" s="265">
        <f ca="1">IF(Q4=0,"Bloqueado",IF(H340="O ano não está correto para o intervalo","ERRO",IF(G355=2018,E355,IF(G355="",E355,ROUNDDOWN((E355/O340)*3.2939,2)))))</f>
        <v>0</v>
      </c>
      <c r="G355" s="425"/>
      <c r="H355" s="512" t="str">
        <f>IF(O340="O ano não está correto para o intervalo","O ano não está correto para o intervalo","")</f>
        <v/>
      </c>
      <c r="I355" s="512"/>
      <c r="J355" s="512"/>
      <c r="K355" s="512"/>
      <c r="L355" s="95"/>
      <c r="M355" s="95"/>
    </row>
    <row r="356" spans="1:15" ht="6.75" customHeight="1" x14ac:dyDescent="0.2">
      <c r="A356" s="6"/>
      <c r="B356" s="264"/>
      <c r="C356" s="131"/>
      <c r="D356" s="131"/>
      <c r="E356" s="44"/>
      <c r="F356" s="265"/>
      <c r="G356" s="424"/>
      <c r="H356" s="454"/>
      <c r="I356" s="454"/>
      <c r="J356" s="454"/>
      <c r="K356" s="454"/>
      <c r="L356" s="454"/>
      <c r="M356" s="454"/>
    </row>
    <row r="357" spans="1:15" x14ac:dyDescent="0.2">
      <c r="A357" s="6"/>
      <c r="B357" s="264" t="s">
        <v>181</v>
      </c>
      <c r="C357" s="131"/>
      <c r="D357" s="131"/>
      <c r="E357" s="100"/>
      <c r="F357" s="265">
        <f ca="1">IF(Q4=0,"Bloqueado",IF(H342="O ano não está correto para o intervalo","ERRO",IF(G357=2018,E357,IF(G357="",E357,ROUNDDOWN((E357/O342)*3.2939,2)))))</f>
        <v>0</v>
      </c>
      <c r="G357" s="425"/>
      <c r="H357" s="512" t="str">
        <f>IF(O342="O ano não está correto para o intervalo","O ano não está correto para o intervalo","")</f>
        <v/>
      </c>
      <c r="I357" s="512"/>
      <c r="J357" s="512"/>
      <c r="K357" s="512"/>
      <c r="L357" s="95"/>
      <c r="M357" s="95"/>
    </row>
    <row r="358" spans="1:15" ht="6.75" customHeight="1" x14ac:dyDescent="0.2">
      <c r="A358" s="6"/>
      <c r="B358" s="264"/>
      <c r="C358" s="131"/>
      <c r="D358" s="131"/>
      <c r="E358" s="44"/>
      <c r="F358" s="265"/>
      <c r="G358" s="423"/>
      <c r="H358" s="454"/>
      <c r="I358" s="454"/>
      <c r="J358" s="454"/>
      <c r="K358" s="454"/>
      <c r="L358" s="454"/>
      <c r="M358" s="454"/>
    </row>
    <row r="359" spans="1:15" x14ac:dyDescent="0.2">
      <c r="A359" s="6"/>
      <c r="B359" s="264" t="s">
        <v>182</v>
      </c>
      <c r="C359" s="131"/>
      <c r="D359" s="131"/>
      <c r="E359" s="100"/>
      <c r="F359" s="265">
        <f ca="1">IF(Q4=0,"Bloqueado",E359)</f>
        <v>0</v>
      </c>
      <c r="G359" s="423"/>
      <c r="H359" s="454"/>
      <c r="I359" s="454"/>
      <c r="J359" s="454"/>
      <c r="K359" s="454"/>
      <c r="L359" s="454"/>
      <c r="M359" s="454"/>
    </row>
    <row r="360" spans="1:15" ht="6.75" customHeight="1" x14ac:dyDescent="0.2">
      <c r="A360" s="6"/>
      <c r="B360" s="264"/>
      <c r="C360" s="131"/>
      <c r="D360" s="131"/>
      <c r="E360" s="44"/>
      <c r="F360" s="265"/>
      <c r="G360" s="423"/>
      <c r="H360" s="454"/>
      <c r="I360" s="454"/>
      <c r="J360" s="454"/>
      <c r="K360" s="454"/>
      <c r="L360" s="454"/>
      <c r="M360" s="454"/>
    </row>
    <row r="361" spans="1:15" x14ac:dyDescent="0.2">
      <c r="A361" s="6"/>
      <c r="B361" s="264" t="s">
        <v>183</v>
      </c>
      <c r="C361" s="131"/>
      <c r="D361" s="131"/>
      <c r="E361" s="100"/>
      <c r="F361" s="265">
        <f ca="1">IF(Q4=0,"Bloqueado",E361)</f>
        <v>0</v>
      </c>
      <c r="G361" s="423"/>
      <c r="H361" s="454"/>
      <c r="I361" s="454"/>
      <c r="J361" s="454"/>
      <c r="K361" s="454"/>
      <c r="L361" s="454"/>
      <c r="M361" s="454"/>
    </row>
    <row r="362" spans="1:15" x14ac:dyDescent="0.2">
      <c r="A362" s="6"/>
      <c r="B362" s="264"/>
      <c r="C362" s="131"/>
      <c r="D362" s="131"/>
      <c r="E362" s="44"/>
      <c r="F362" s="265"/>
      <c r="G362" s="423"/>
      <c r="H362" s="454"/>
      <c r="I362" s="454"/>
      <c r="J362" s="454"/>
      <c r="K362" s="454"/>
      <c r="L362" s="454"/>
      <c r="M362" s="454"/>
    </row>
    <row r="363" spans="1:15" x14ac:dyDescent="0.2">
      <c r="A363" s="6"/>
      <c r="B363" s="264" t="s">
        <v>184</v>
      </c>
      <c r="C363" s="131"/>
      <c r="D363" s="131"/>
      <c r="E363" s="100"/>
      <c r="F363" s="265">
        <f ca="1">IF(Q4=0,"Bloqueado",F351+F353+F355+F357+F359)*E363/100</f>
        <v>0</v>
      </c>
      <c r="G363" s="423"/>
      <c r="H363" s="454"/>
      <c r="I363" s="454"/>
      <c r="J363" s="454"/>
      <c r="K363" s="454"/>
      <c r="L363" s="454"/>
      <c r="M363" s="454"/>
    </row>
    <row r="364" spans="1:15" ht="6.75" customHeight="1" x14ac:dyDescent="0.2">
      <c r="A364" s="6"/>
      <c r="B364" s="264"/>
      <c r="C364" s="131"/>
      <c r="D364" s="131"/>
      <c r="E364" s="44"/>
      <c r="F364" s="265"/>
      <c r="G364" s="423"/>
      <c r="H364" s="454"/>
      <c r="I364" s="454"/>
      <c r="J364" s="454"/>
      <c r="K364" s="454"/>
      <c r="L364" s="454"/>
      <c r="M364" s="454"/>
    </row>
    <row r="365" spans="1:15" ht="13.5" thickBot="1" x14ac:dyDescent="0.25">
      <c r="A365" s="6"/>
      <c r="B365" s="266" t="s">
        <v>185</v>
      </c>
      <c r="C365" s="305"/>
      <c r="D365" s="305"/>
      <c r="E365" s="267">
        <f ca="1">IF(Q4=0,0,F351+F353+F355+F357+E359+(F351+F353+F355+F357+E359)*E363/100)</f>
        <v>0</v>
      </c>
      <c r="F365" s="259">
        <f ca="1">IF(Q4=0,"Bloqueado",IF(O335=1,0,IF(O366=0,0,IF(O366&lt;T346,S346,IF(O366&gt;T348,S348,O366))))+E361)</f>
        <v>0</v>
      </c>
      <c r="G365" s="426"/>
      <c r="H365" s="454"/>
      <c r="I365" s="454"/>
      <c r="J365" s="454"/>
      <c r="K365" s="454"/>
      <c r="L365" s="454"/>
      <c r="M365" s="454"/>
    </row>
    <row r="366" spans="1:15" ht="15" customHeight="1" thickBot="1" x14ac:dyDescent="0.25">
      <c r="A366" s="6"/>
      <c r="B366" s="260" t="s">
        <v>186</v>
      </c>
      <c r="C366" s="306"/>
      <c r="D366" s="306"/>
      <c r="E366" s="105"/>
      <c r="F366" s="106"/>
      <c r="G366" s="7"/>
      <c r="H366" s="454"/>
      <c r="I366" s="454"/>
      <c r="J366" s="454"/>
      <c r="K366" s="454"/>
      <c r="L366" s="454"/>
      <c r="M366" s="454"/>
      <c r="O366" s="5">
        <f ca="1">IF(Q4=0,"Bloqueado",IF(O335=1,0,(E365*0.02)+P362))</f>
        <v>0</v>
      </c>
    </row>
    <row r="367" spans="1:15" ht="12.75" customHeight="1" thickBot="1" x14ac:dyDescent="0.3">
      <c r="A367" s="6"/>
      <c r="B367" s="107" t="s">
        <v>187</v>
      </c>
      <c r="C367" s="297"/>
      <c r="D367" s="297"/>
      <c r="E367" s="7"/>
      <c r="F367" s="7"/>
      <c r="G367" s="513" t="str">
        <f>IF(O367&gt;1,"Marcar somente um tipo de Ação de Despejo","")</f>
        <v/>
      </c>
      <c r="H367" s="513"/>
      <c r="I367" s="513"/>
      <c r="J367" s="513"/>
      <c r="K367" s="513"/>
      <c r="L367" s="513"/>
      <c r="M367" s="513"/>
      <c r="O367" s="5">
        <f>COUNTA(E382:E384)</f>
        <v>0</v>
      </c>
    </row>
    <row r="368" spans="1:15" ht="13.5" customHeight="1" x14ac:dyDescent="0.2">
      <c r="A368" s="6"/>
      <c r="B368" s="108" t="s">
        <v>188</v>
      </c>
      <c r="C368" s="307"/>
      <c r="D368" s="307"/>
      <c r="E368" s="109"/>
      <c r="F368" s="52">
        <f ca="1">IF(Q4=0,"Bloqueado",(E368*12)*0.02)</f>
        <v>0</v>
      </c>
      <c r="G368" s="7"/>
      <c r="H368" s="454"/>
      <c r="I368" s="454"/>
      <c r="J368" s="454"/>
      <c r="K368" s="454"/>
      <c r="L368" s="454"/>
      <c r="M368" s="454"/>
    </row>
    <row r="369" spans="1:16" ht="25.5" customHeight="1" x14ac:dyDescent="0.2">
      <c r="A369" s="6"/>
      <c r="B369" s="22"/>
      <c r="C369" s="131"/>
      <c r="D369" s="131"/>
      <c r="E369" s="44"/>
      <c r="F369" s="25"/>
      <c r="G369" s="7"/>
      <c r="H369" s="454"/>
      <c r="I369" s="454"/>
      <c r="J369" s="454"/>
      <c r="K369" s="454"/>
      <c r="L369" s="454"/>
      <c r="M369" s="454"/>
    </row>
    <row r="370" spans="1:16" ht="13.5" customHeight="1" x14ac:dyDescent="0.2">
      <c r="A370" s="6"/>
      <c r="B370" s="22" t="s">
        <v>189</v>
      </c>
      <c r="C370" s="131"/>
      <c r="D370" s="131"/>
      <c r="E370" s="100"/>
      <c r="F370" s="25">
        <f ca="1">IF(Q4=0,"Bloqueado",(E370*12)*0.02)</f>
        <v>0</v>
      </c>
      <c r="G370" s="7"/>
      <c r="H370" s="454"/>
      <c r="I370" s="454"/>
      <c r="J370" s="454"/>
      <c r="K370" s="454"/>
      <c r="L370" s="454"/>
      <c r="M370" s="454"/>
    </row>
    <row r="371" spans="1:16" ht="24.75" customHeight="1" x14ac:dyDescent="0.2">
      <c r="A371" s="6"/>
      <c r="B371" s="22"/>
      <c r="C371" s="131"/>
      <c r="D371" s="131"/>
      <c r="E371" s="44"/>
      <c r="F371" s="25"/>
      <c r="G371" s="6"/>
      <c r="H371" s="454"/>
      <c r="I371" s="454"/>
      <c r="J371" s="454"/>
      <c r="K371" s="454"/>
      <c r="L371" s="454"/>
      <c r="M371" s="454"/>
    </row>
    <row r="372" spans="1:16" ht="10.5" customHeight="1" x14ac:dyDescent="0.2">
      <c r="A372" s="6"/>
      <c r="B372" s="22" t="s">
        <v>190</v>
      </c>
      <c r="C372" s="131"/>
      <c r="D372" s="131"/>
      <c r="E372" s="100"/>
      <c r="F372" s="25">
        <f ca="1">IF(Q4=0,"Bloqueado",E372*0.02)</f>
        <v>0</v>
      </c>
      <c r="G372" s="6"/>
      <c r="H372" s="454"/>
      <c r="I372" s="454"/>
      <c r="J372" s="454"/>
      <c r="K372" s="454"/>
      <c r="L372" s="454"/>
      <c r="M372" s="454"/>
    </row>
    <row r="373" spans="1:16" ht="12.75" customHeight="1" x14ac:dyDescent="0.2">
      <c r="A373" s="6"/>
      <c r="B373" s="22"/>
      <c r="C373" s="131"/>
      <c r="D373" s="131"/>
      <c r="E373" s="44"/>
      <c r="F373" s="25"/>
      <c r="G373" s="6"/>
      <c r="H373" s="454"/>
      <c r="I373" s="454"/>
      <c r="J373" s="454"/>
      <c r="K373" s="454"/>
      <c r="L373" s="454"/>
      <c r="M373" s="454"/>
    </row>
    <row r="374" spans="1:16" ht="12.75" customHeight="1" x14ac:dyDescent="0.2">
      <c r="A374" s="6"/>
      <c r="B374" s="22" t="s">
        <v>191</v>
      </c>
      <c r="C374" s="131"/>
      <c r="D374" s="131"/>
      <c r="E374" s="110"/>
      <c r="F374" s="25">
        <f ca="1">IF(Q4=0,"Bloqueado",(E372*(E374/100))*0.02)</f>
        <v>0</v>
      </c>
      <c r="G374" s="6"/>
      <c r="H374" s="454"/>
      <c r="I374" s="454"/>
      <c r="J374" s="454"/>
      <c r="K374" s="454"/>
      <c r="L374" s="454"/>
      <c r="M374" s="454"/>
    </row>
    <row r="375" spans="1:16" ht="6.75" customHeight="1" x14ac:dyDescent="0.2">
      <c r="A375" s="6"/>
      <c r="B375" s="22"/>
      <c r="C375" s="131"/>
      <c r="D375" s="131"/>
      <c r="E375" s="6"/>
      <c r="F375" s="56"/>
      <c r="G375" s="6"/>
      <c r="H375" s="454"/>
      <c r="I375" s="454"/>
      <c r="J375" s="454"/>
      <c r="K375" s="454"/>
      <c r="L375" s="454"/>
      <c r="M375" s="454"/>
    </row>
    <row r="376" spans="1:16" ht="12.75" customHeight="1" thickBot="1" x14ac:dyDescent="0.3">
      <c r="A376" s="6"/>
      <c r="B376" s="111" t="s">
        <v>185</v>
      </c>
      <c r="C376" s="308"/>
      <c r="D376" s="308"/>
      <c r="E376" s="112"/>
      <c r="F376" s="60">
        <f ca="1">IF(Q4=0,"Bloqueado",F368+F370+F372+F374)</f>
        <v>0</v>
      </c>
      <c r="G376" s="6"/>
      <c r="H376" s="454"/>
      <c r="I376" s="454"/>
      <c r="J376" s="454"/>
      <c r="K376" s="454"/>
      <c r="L376" s="454"/>
      <c r="M376" s="454"/>
      <c r="P376" s="1" t="s">
        <v>192</v>
      </c>
    </row>
    <row r="377" spans="1:16" ht="12.75" customHeight="1" thickBot="1" x14ac:dyDescent="0.25">
      <c r="A377" s="6"/>
      <c r="B377" s="107" t="s">
        <v>193</v>
      </c>
      <c r="C377" s="297"/>
      <c r="D377" s="297"/>
      <c r="E377" s="7"/>
      <c r="F377" s="7"/>
      <c r="G377" s="454"/>
      <c r="H377" s="454"/>
      <c r="I377" s="454"/>
      <c r="J377" s="454"/>
      <c r="K377" s="454"/>
      <c r="L377" s="454"/>
      <c r="M377" s="454"/>
    </row>
    <row r="378" spans="1:16" x14ac:dyDescent="0.2">
      <c r="A378" s="6"/>
      <c r="B378" s="108" t="s">
        <v>194</v>
      </c>
      <c r="C378" s="307"/>
      <c r="D378" s="307"/>
      <c r="E378" s="109"/>
      <c r="F378" s="52">
        <f ca="1">IF(Q4=0,"Bloqueado",(E378*24)*0.02)</f>
        <v>0</v>
      </c>
      <c r="G378" s="454"/>
      <c r="H378" s="454"/>
      <c r="I378" s="454"/>
      <c r="J378" s="454"/>
      <c r="K378" s="454"/>
      <c r="L378" s="454"/>
      <c r="M378" s="454"/>
    </row>
    <row r="379" spans="1:16" ht="6.75" customHeight="1" x14ac:dyDescent="0.2">
      <c r="A379" s="6"/>
      <c r="B379" s="22"/>
      <c r="C379" s="131"/>
      <c r="D379" s="131"/>
      <c r="E379" s="44"/>
      <c r="F379" s="25"/>
      <c r="G379" s="454"/>
      <c r="H379" s="454"/>
      <c r="I379" s="454"/>
      <c r="J379" s="454"/>
      <c r="K379" s="454"/>
      <c r="L379" s="454"/>
      <c r="M379" s="454"/>
    </row>
    <row r="380" spans="1:16" ht="15.75" thickBot="1" x14ac:dyDescent="0.3">
      <c r="A380" s="6"/>
      <c r="B380" s="111" t="s">
        <v>185</v>
      </c>
      <c r="C380" s="308"/>
      <c r="D380" s="308"/>
      <c r="E380" s="112"/>
      <c r="F380" s="60">
        <f ca="1">F378</f>
        <v>0</v>
      </c>
      <c r="G380" s="454"/>
      <c r="H380" s="454"/>
      <c r="I380" s="454"/>
      <c r="J380" s="454"/>
      <c r="K380" s="454"/>
      <c r="L380" s="454"/>
      <c r="M380" s="454"/>
    </row>
    <row r="381" spans="1:16" ht="13.5" thickBot="1" x14ac:dyDescent="0.25">
      <c r="A381" s="6"/>
      <c r="B381" s="107" t="s">
        <v>195</v>
      </c>
      <c r="C381" s="297"/>
      <c r="D381" s="297"/>
      <c r="E381" s="7"/>
      <c r="F381" s="7"/>
      <c r="G381" s="454"/>
      <c r="H381" s="454"/>
      <c r="I381" s="454"/>
      <c r="J381" s="454"/>
      <c r="K381" s="454"/>
      <c r="L381" s="454"/>
      <c r="M381" s="454"/>
    </row>
    <row r="382" spans="1:16" x14ac:dyDescent="0.2">
      <c r="A382" s="6"/>
      <c r="B382" s="268" t="s">
        <v>196</v>
      </c>
      <c r="C382" s="309"/>
      <c r="D382" s="309"/>
      <c r="E382" s="269"/>
      <c r="F382" s="254">
        <f ca="1">IF(Q4=0,"Bloqueado",(E382*12)*0.02)</f>
        <v>0</v>
      </c>
      <c r="G382" s="454"/>
      <c r="H382" s="454"/>
      <c r="I382" s="454"/>
      <c r="J382" s="454"/>
      <c r="K382" s="454"/>
      <c r="L382" s="454"/>
      <c r="M382" s="454"/>
    </row>
    <row r="383" spans="1:16" x14ac:dyDescent="0.2">
      <c r="A383" s="6"/>
      <c r="B383" s="270"/>
      <c r="C383" s="310"/>
      <c r="D383" s="310"/>
      <c r="E383" s="35"/>
      <c r="F383" s="271"/>
      <c r="G383" s="454"/>
      <c r="H383" s="454"/>
      <c r="I383" s="454"/>
      <c r="J383" s="454"/>
      <c r="K383" s="454"/>
      <c r="L383" s="454"/>
      <c r="M383" s="454"/>
      <c r="O383" s="5">
        <f>IF(E398=0,0,1)</f>
        <v>0</v>
      </c>
      <c r="P383" s="4">
        <f>O383+O385+O388</f>
        <v>0</v>
      </c>
    </row>
    <row r="384" spans="1:16" ht="25.5" x14ac:dyDescent="0.2">
      <c r="A384" s="6"/>
      <c r="B384" s="272" t="s">
        <v>197</v>
      </c>
      <c r="C384" s="311"/>
      <c r="D384" s="311"/>
      <c r="E384" s="115"/>
      <c r="F384" s="271">
        <f ca="1">IF(Q4=0,"Bloqueado",(E384*12)*0.02)</f>
        <v>0</v>
      </c>
      <c r="G384" s="454"/>
      <c r="H384" s="454"/>
      <c r="I384" s="454"/>
      <c r="J384" s="454"/>
      <c r="K384" s="454"/>
      <c r="L384" s="454"/>
      <c r="M384" s="454"/>
    </row>
    <row r="385" spans="1:25" x14ac:dyDescent="0.2">
      <c r="A385" s="6"/>
      <c r="B385" s="270"/>
      <c r="C385" s="310"/>
      <c r="D385" s="310"/>
      <c r="E385" s="35"/>
      <c r="F385" s="271"/>
      <c r="G385" s="454"/>
      <c r="H385" s="454"/>
      <c r="I385" s="454"/>
      <c r="J385" s="454"/>
      <c r="K385" s="454"/>
      <c r="L385" s="454"/>
      <c r="M385" s="454"/>
      <c r="O385" s="5">
        <f>IF(E400=0,0,1)</f>
        <v>0</v>
      </c>
    </row>
    <row r="386" spans="1:25" ht="10.5" customHeight="1" x14ac:dyDescent="0.2">
      <c r="A386" s="6"/>
      <c r="B386" s="272" t="s">
        <v>198</v>
      </c>
      <c r="C386" s="311"/>
      <c r="D386" s="311"/>
      <c r="E386" s="115"/>
      <c r="F386" s="271">
        <f ca="1">IF(Q4=0,"Bloqueado",(E386*12)*0.02)</f>
        <v>0</v>
      </c>
      <c r="G386" s="454"/>
      <c r="H386" s="454"/>
      <c r="I386" s="454"/>
      <c r="J386" s="454"/>
      <c r="K386" s="454"/>
      <c r="L386" s="454"/>
      <c r="M386" s="454"/>
    </row>
    <row r="387" spans="1:25" x14ac:dyDescent="0.2">
      <c r="A387" s="6"/>
      <c r="B387" s="272"/>
      <c r="C387" s="311"/>
      <c r="D387" s="311"/>
      <c r="E387" s="476"/>
      <c r="F387" s="271"/>
      <c r="G387" s="454"/>
      <c r="H387" s="454"/>
      <c r="I387" s="454"/>
      <c r="J387" s="454"/>
      <c r="K387" s="454"/>
      <c r="L387" s="454"/>
      <c r="M387" s="454"/>
    </row>
    <row r="388" spans="1:25" x14ac:dyDescent="0.2">
      <c r="A388" s="6"/>
      <c r="B388" s="277" t="s">
        <v>199</v>
      </c>
      <c r="C388" s="312"/>
      <c r="D388" s="312"/>
      <c r="E388" s="476"/>
      <c r="F388" s="271">
        <f ca="1">IF(Q4=0,"Bloqueado",(F389)*0.02+F391)</f>
        <v>0</v>
      </c>
      <c r="G388" s="454"/>
      <c r="H388" s="454"/>
      <c r="I388" s="454"/>
      <c r="J388" s="454"/>
      <c r="K388" s="454"/>
      <c r="L388" s="454"/>
      <c r="M388" s="454"/>
      <c r="O388" s="5">
        <f>IF(E403=0,0,1)</f>
        <v>0</v>
      </c>
    </row>
    <row r="389" spans="1:25" ht="11.25" customHeight="1" x14ac:dyDescent="0.2">
      <c r="A389" s="6"/>
      <c r="B389" s="272" t="s">
        <v>200</v>
      </c>
      <c r="C389" s="311"/>
      <c r="D389" s="311"/>
      <c r="E389" s="115"/>
      <c r="F389" s="273">
        <f ca="1">IF(Q4=0,"Bloqueado",12*E389)</f>
        <v>0</v>
      </c>
      <c r="G389" s="454"/>
      <c r="H389" s="454"/>
      <c r="I389" s="454"/>
      <c r="J389" s="454"/>
      <c r="K389" s="454"/>
      <c r="L389" s="454"/>
      <c r="M389" s="454"/>
    </row>
    <row r="390" spans="1:25" x14ac:dyDescent="0.2">
      <c r="A390" s="6"/>
      <c r="B390" s="272"/>
      <c r="C390" s="311"/>
      <c r="D390" s="311"/>
      <c r="E390" s="476"/>
      <c r="F390" s="273"/>
      <c r="G390" s="454"/>
      <c r="H390" s="454"/>
      <c r="I390" s="454"/>
      <c r="J390" s="454"/>
      <c r="K390" s="454"/>
      <c r="L390" s="454"/>
      <c r="M390" s="454"/>
    </row>
    <row r="391" spans="1:25" x14ac:dyDescent="0.2">
      <c r="A391" s="6"/>
      <c r="B391" s="277" t="s">
        <v>201</v>
      </c>
      <c r="C391" s="312"/>
      <c r="D391" s="312"/>
      <c r="E391" s="115"/>
      <c r="F391" s="273">
        <f ca="1">IF(Q4=0,"Bloqueado",E391*77.9)</f>
        <v>0</v>
      </c>
      <c r="G391" s="454"/>
      <c r="H391" s="454"/>
      <c r="I391" s="454"/>
      <c r="J391" s="454"/>
      <c r="K391" s="454"/>
      <c r="L391" s="454"/>
      <c r="M391" s="454"/>
    </row>
    <row r="392" spans="1:25" x14ac:dyDescent="0.2">
      <c r="A392" s="6"/>
      <c r="B392" s="270"/>
      <c r="C392" s="310"/>
      <c r="D392" s="310"/>
      <c r="E392" s="35"/>
      <c r="F392" s="271"/>
      <c r="G392" s="454"/>
      <c r="H392" s="454"/>
      <c r="I392" s="454"/>
      <c r="J392" s="454"/>
      <c r="K392" s="454"/>
      <c r="L392" s="454"/>
      <c r="M392" s="454"/>
      <c r="N392" s="126"/>
      <c r="O392" s="76"/>
      <c r="P392" s="126"/>
      <c r="Q392" s="126"/>
      <c r="R392" s="126"/>
      <c r="S392" s="126"/>
      <c r="T392" s="126"/>
      <c r="U392" s="126"/>
      <c r="V392" s="127"/>
    </row>
    <row r="393" spans="1:25" x14ac:dyDescent="0.2">
      <c r="A393" s="6"/>
      <c r="B393" s="270" t="s">
        <v>202</v>
      </c>
      <c r="C393" s="310"/>
      <c r="D393" s="310"/>
      <c r="E393" s="116"/>
      <c r="F393" s="271">
        <f ca="1">IF(Q4=0,"Bloqueado",(((E382+E384+E386+E389)*12)*(E393/100))*0.02)</f>
        <v>0</v>
      </c>
      <c r="G393" s="454"/>
      <c r="H393" s="454"/>
      <c r="I393" s="454"/>
      <c r="J393" s="454"/>
      <c r="K393" s="454"/>
      <c r="L393" s="454"/>
      <c r="M393" s="454"/>
      <c r="N393" s="126"/>
      <c r="O393" s="76"/>
      <c r="P393" s="126"/>
      <c r="Q393" s="126"/>
      <c r="R393" s="126"/>
      <c r="S393" s="126"/>
      <c r="T393" s="126"/>
      <c r="U393" s="126"/>
      <c r="V393" s="127"/>
    </row>
    <row r="394" spans="1:25" x14ac:dyDescent="0.2">
      <c r="A394" s="6"/>
      <c r="B394" s="270"/>
      <c r="C394" s="310"/>
      <c r="D394" s="310"/>
      <c r="E394" s="31"/>
      <c r="F394" s="274"/>
      <c r="G394" s="454"/>
      <c r="H394" s="454"/>
      <c r="I394" s="454"/>
      <c r="J394" s="454"/>
      <c r="K394" s="454"/>
      <c r="L394" s="454"/>
      <c r="M394" s="454"/>
      <c r="N394" s="126"/>
      <c r="O394" s="76"/>
      <c r="P394" s="126"/>
      <c r="Q394" s="126"/>
      <c r="R394" s="126"/>
      <c r="S394" s="126"/>
      <c r="T394" s="126"/>
      <c r="U394" s="126"/>
      <c r="V394" s="127"/>
    </row>
    <row r="395" spans="1:25" ht="15.75" thickBot="1" x14ac:dyDescent="0.3">
      <c r="A395" s="6"/>
      <c r="B395" s="275" t="s">
        <v>185</v>
      </c>
      <c r="C395" s="313"/>
      <c r="D395" s="313"/>
      <c r="E395" s="276">
        <f ca="1">IF(Q4=0,"Bloqueado",F382+F384+F386+F388+F393)</f>
        <v>0</v>
      </c>
      <c r="F395" s="259">
        <f ca="1">IF(E395=0,0,IF(E395&lt;T346,S346,IF(E395&gt;T348,S348,E395)))</f>
        <v>0</v>
      </c>
      <c r="G395" s="454"/>
      <c r="H395" s="454"/>
      <c r="I395" s="454"/>
      <c r="J395" s="454"/>
      <c r="K395" s="454"/>
      <c r="L395" s="454"/>
      <c r="M395" s="454"/>
      <c r="N395" s="126"/>
      <c r="O395" s="76"/>
      <c r="P395" s="126"/>
      <c r="Q395" s="126"/>
      <c r="R395" s="126"/>
      <c r="S395" s="126"/>
      <c r="T395" s="126"/>
      <c r="U395" s="126"/>
      <c r="V395" s="127"/>
    </row>
    <row r="396" spans="1:25" ht="13.5" thickBot="1" x14ac:dyDescent="0.25">
      <c r="A396" s="6"/>
      <c r="B396" s="107" t="s">
        <v>203</v>
      </c>
      <c r="C396" s="297"/>
      <c r="D396" s="297"/>
      <c r="E396" s="31"/>
      <c r="F396" s="31"/>
      <c r="G396" s="454"/>
      <c r="H396" s="454"/>
      <c r="I396" s="454"/>
      <c r="J396" s="454"/>
      <c r="K396" s="454"/>
      <c r="L396" s="454"/>
      <c r="M396" s="454"/>
      <c r="N396" s="126"/>
      <c r="O396" s="76"/>
      <c r="P396" s="126"/>
      <c r="Q396" s="126"/>
      <c r="R396" s="126"/>
      <c r="S396" s="126"/>
      <c r="T396" s="126"/>
      <c r="U396" s="126"/>
      <c r="V396" s="127"/>
    </row>
    <row r="397" spans="1:25" s="139" customFormat="1" x14ac:dyDescent="0.2">
      <c r="A397" s="6"/>
      <c r="B397" s="113" t="s">
        <v>204</v>
      </c>
      <c r="C397" s="314"/>
      <c r="D397" s="314"/>
      <c r="E397" s="477"/>
      <c r="F397" s="118">
        <f ca="1">IF(Q4=0,"Bloqueado",IF(P383&gt;2,"ERRO",(F398+F400)*0.02))</f>
        <v>0</v>
      </c>
      <c r="G397" s="50"/>
      <c r="H397" s="478"/>
      <c r="I397" s="457"/>
      <c r="J397" s="134"/>
      <c r="K397" s="452"/>
      <c r="L397" s="452"/>
      <c r="M397" s="452"/>
      <c r="N397" s="135"/>
      <c r="O397" s="135"/>
      <c r="P397" s="135"/>
      <c r="Q397" s="135"/>
      <c r="R397" s="135"/>
      <c r="S397" s="135"/>
      <c r="T397" s="135"/>
      <c r="U397" s="136"/>
      <c r="V397" s="137"/>
      <c r="W397" s="138"/>
      <c r="X397" s="138"/>
      <c r="Y397" s="138"/>
    </row>
    <row r="398" spans="1:25" s="139" customFormat="1" ht="12.75" customHeight="1" x14ac:dyDescent="0.2">
      <c r="A398" s="6"/>
      <c r="B398" s="119" t="s">
        <v>205</v>
      </c>
      <c r="C398" s="315"/>
      <c r="D398" s="315"/>
      <c r="E398" s="115"/>
      <c r="F398" s="28">
        <f ca="1">IF(Q4=0,"Bloqueado",E398*12)</f>
        <v>0</v>
      </c>
      <c r="G398" s="50"/>
      <c r="H398" s="478"/>
      <c r="I398" s="457"/>
      <c r="J398" s="134"/>
      <c r="K398" s="452"/>
      <c r="L398" s="452"/>
      <c r="M398" s="452"/>
      <c r="N398" s="135"/>
      <c r="O398" s="135"/>
      <c r="P398" s="135"/>
      <c r="Q398" s="135"/>
      <c r="R398" s="135"/>
      <c r="S398" s="135"/>
      <c r="T398" s="135"/>
      <c r="U398" s="136"/>
      <c r="V398" s="137"/>
      <c r="W398" s="138"/>
      <c r="X398" s="138"/>
      <c r="Y398" s="138"/>
    </row>
    <row r="399" spans="1:25" s="139" customFormat="1" x14ac:dyDescent="0.2">
      <c r="A399" s="6"/>
      <c r="B399" s="119"/>
      <c r="C399" s="315"/>
      <c r="D399" s="315"/>
      <c r="E399" s="476"/>
      <c r="F399" s="28"/>
      <c r="G399" s="50"/>
      <c r="H399" s="478"/>
      <c r="I399" s="457"/>
      <c r="J399" s="134"/>
      <c r="K399" s="452"/>
      <c r="L399" s="452"/>
      <c r="M399" s="452"/>
      <c r="N399" s="135"/>
      <c r="O399" s="135"/>
      <c r="P399" s="135"/>
      <c r="Q399" s="135"/>
      <c r="R399" s="135"/>
      <c r="S399" s="135"/>
      <c r="T399" s="135"/>
      <c r="U399" s="136"/>
      <c r="V399" s="137"/>
      <c r="W399" s="138"/>
      <c r="X399" s="138"/>
      <c r="Y399" s="138"/>
    </row>
    <row r="400" spans="1:25" x14ac:dyDescent="0.2">
      <c r="A400" s="6"/>
      <c r="B400" s="120" t="s">
        <v>206</v>
      </c>
      <c r="C400" s="316"/>
      <c r="D400" s="316"/>
      <c r="E400" s="115"/>
      <c r="F400" s="28">
        <f ca="1">IF(Q4=0,"Bloqueado",E400)</f>
        <v>0</v>
      </c>
      <c r="G400" s="454"/>
      <c r="H400" s="454"/>
      <c r="I400" s="454"/>
      <c r="J400" s="454"/>
      <c r="K400" s="454"/>
      <c r="L400" s="454"/>
      <c r="M400" s="454"/>
      <c r="N400" s="126"/>
      <c r="O400" s="76"/>
      <c r="P400" s="126"/>
      <c r="Q400" s="126"/>
      <c r="R400" s="126"/>
      <c r="S400" s="126"/>
      <c r="T400" s="126"/>
      <c r="U400" s="126"/>
      <c r="V400" s="127"/>
    </row>
    <row r="401" spans="1:22" ht="8.25" customHeight="1" x14ac:dyDescent="0.2">
      <c r="A401" s="6"/>
      <c r="B401" s="120"/>
      <c r="C401" s="316"/>
      <c r="D401" s="316"/>
      <c r="E401" s="476"/>
      <c r="F401" s="28"/>
      <c r="G401" s="454"/>
      <c r="H401" s="454"/>
      <c r="I401" s="454"/>
      <c r="J401" s="454"/>
      <c r="K401" s="454"/>
      <c r="L401" s="454"/>
      <c r="M401" s="454"/>
      <c r="N401" s="126"/>
      <c r="O401" s="76"/>
      <c r="P401" s="126"/>
      <c r="Q401" s="126"/>
      <c r="R401" s="126"/>
      <c r="S401" s="126"/>
      <c r="T401" s="126"/>
      <c r="U401" s="126"/>
      <c r="V401" s="127"/>
    </row>
    <row r="402" spans="1:22" ht="13.5" customHeight="1" x14ac:dyDescent="0.2">
      <c r="A402" s="6"/>
      <c r="B402" s="120" t="s">
        <v>207</v>
      </c>
      <c r="C402" s="316"/>
      <c r="D402" s="316"/>
      <c r="E402" s="476"/>
      <c r="F402" s="28"/>
      <c r="G402" s="454"/>
      <c r="H402" s="454"/>
      <c r="I402" s="454"/>
      <c r="J402" s="454"/>
      <c r="K402" s="454"/>
      <c r="L402" s="454"/>
      <c r="M402" s="454"/>
      <c r="N402" s="126"/>
      <c r="O402" s="76"/>
      <c r="P402" s="126"/>
      <c r="Q402" s="126"/>
      <c r="R402" s="126"/>
      <c r="S402" s="126"/>
      <c r="T402" s="126"/>
      <c r="U402" s="126"/>
      <c r="V402" s="127"/>
    </row>
    <row r="403" spans="1:22" x14ac:dyDescent="0.2">
      <c r="A403" s="6"/>
      <c r="B403" s="120" t="s">
        <v>208</v>
      </c>
      <c r="C403" s="316"/>
      <c r="D403" s="316"/>
      <c r="E403" s="115"/>
      <c r="F403" s="28">
        <f ca="1">IF(Q4=0,"Bloqueado",IF(P383&gt;2,"ERRO",(E403*0.02)))</f>
        <v>0</v>
      </c>
      <c r="G403" s="454"/>
      <c r="H403" s="454"/>
      <c r="I403" s="454"/>
      <c r="J403" s="454"/>
      <c r="K403" s="454"/>
      <c r="L403" s="454"/>
      <c r="M403" s="454"/>
      <c r="N403" s="126"/>
      <c r="O403" s="76"/>
      <c r="P403" s="126"/>
      <c r="Q403" s="126"/>
      <c r="R403" s="126"/>
      <c r="S403" s="126"/>
      <c r="T403" s="126"/>
      <c r="U403" s="126"/>
      <c r="V403" s="127"/>
    </row>
    <row r="404" spans="1:22" ht="6.75" customHeight="1" x14ac:dyDescent="0.2">
      <c r="A404" s="6"/>
      <c r="B404" s="114"/>
      <c r="C404" s="310"/>
      <c r="D404" s="310"/>
      <c r="E404" s="35"/>
      <c r="F404" s="28"/>
      <c r="G404" s="454"/>
      <c r="H404" s="454"/>
      <c r="I404" s="454"/>
      <c r="J404" s="454"/>
      <c r="K404" s="454"/>
      <c r="L404" s="454"/>
      <c r="M404" s="454"/>
      <c r="N404" s="126"/>
      <c r="O404" s="76"/>
      <c r="P404" s="126"/>
      <c r="Q404" s="126"/>
      <c r="R404" s="126"/>
      <c r="S404" s="126"/>
      <c r="T404" s="126"/>
      <c r="U404" s="126"/>
      <c r="V404" s="127"/>
    </row>
    <row r="405" spans="1:22" ht="15.75" thickBot="1" x14ac:dyDescent="0.3">
      <c r="A405" s="6"/>
      <c r="B405" s="117" t="s">
        <v>185</v>
      </c>
      <c r="C405" s="317"/>
      <c r="D405" s="317"/>
      <c r="E405" s="121"/>
      <c r="F405" s="38">
        <f ca="1">IF(P383&gt;2,"ERRO",F397+F403)</f>
        <v>0</v>
      </c>
      <c r="G405" s="454"/>
      <c r="H405" s="454"/>
      <c r="I405" s="454"/>
      <c r="J405" s="454"/>
      <c r="K405" s="454"/>
      <c r="L405" s="454"/>
      <c r="M405" s="454"/>
      <c r="N405" s="126"/>
      <c r="O405" s="76"/>
      <c r="P405" s="126"/>
      <c r="Q405" s="126"/>
      <c r="R405" s="126"/>
      <c r="S405" s="126"/>
      <c r="T405" s="126"/>
      <c r="U405" s="126"/>
      <c r="V405" s="127"/>
    </row>
    <row r="406" spans="1:22" ht="12" customHeight="1" thickBot="1" x14ac:dyDescent="0.25">
      <c r="A406" s="6"/>
      <c r="B406" s="122" t="s">
        <v>209</v>
      </c>
      <c r="C406" s="306"/>
      <c r="D406" s="306"/>
      <c r="E406" s="123"/>
      <c r="F406" s="44"/>
      <c r="G406" s="454"/>
      <c r="H406" s="454"/>
      <c r="I406" s="454"/>
      <c r="J406" s="454"/>
      <c r="K406" s="454"/>
      <c r="L406" s="454"/>
      <c r="M406" s="454"/>
      <c r="N406" s="126"/>
      <c r="O406" s="76"/>
      <c r="P406" s="126"/>
      <c r="Q406" s="126"/>
      <c r="R406" s="126"/>
      <c r="S406" s="126"/>
      <c r="T406" s="126"/>
      <c r="U406" s="126"/>
      <c r="V406" s="127"/>
    </row>
    <row r="407" spans="1:22" ht="13.5" thickBot="1" x14ac:dyDescent="0.25">
      <c r="A407" s="6"/>
      <c r="B407" s="400" t="s">
        <v>210</v>
      </c>
      <c r="C407" s="318"/>
      <c r="D407" s="318"/>
      <c r="E407" s="124"/>
      <c r="F407" s="125">
        <f ca="1">IF(Q4=0,"Bloqueado",E407*80.19)</f>
        <v>0</v>
      </c>
      <c r="G407" s="454"/>
      <c r="H407" s="454"/>
      <c r="I407" s="454"/>
      <c r="J407" s="454"/>
      <c r="K407" s="454"/>
      <c r="L407" s="454"/>
      <c r="M407" s="454"/>
      <c r="N407" s="126"/>
      <c r="O407" s="76"/>
      <c r="P407" s="126"/>
      <c r="Q407" s="126"/>
      <c r="R407" s="126"/>
      <c r="S407" s="126"/>
      <c r="T407" s="126"/>
      <c r="U407" s="126"/>
      <c r="V407" s="127"/>
    </row>
    <row r="408" spans="1:22" ht="12.75" customHeight="1" thickBot="1" x14ac:dyDescent="0.25">
      <c r="A408" s="6"/>
      <c r="B408" s="128" t="s">
        <v>211</v>
      </c>
      <c r="C408" s="306"/>
      <c r="D408" s="306"/>
      <c r="E408" s="123"/>
      <c r="F408" s="44"/>
      <c r="G408" s="454"/>
      <c r="H408" s="454"/>
      <c r="I408" s="454"/>
      <c r="J408" s="454"/>
      <c r="K408" s="454"/>
      <c r="L408" s="454"/>
      <c r="M408" s="454"/>
      <c r="N408" s="126"/>
      <c r="O408" s="76"/>
      <c r="P408" s="126"/>
      <c r="Q408" s="126"/>
      <c r="R408" s="126"/>
      <c r="S408" s="126"/>
      <c r="T408" s="126"/>
      <c r="U408" s="126"/>
      <c r="V408" s="127"/>
    </row>
    <row r="409" spans="1:22" ht="24.75" customHeight="1" thickBot="1" x14ac:dyDescent="0.25">
      <c r="A409" s="6"/>
      <c r="B409" s="399" t="s">
        <v>212</v>
      </c>
      <c r="C409" s="319"/>
      <c r="D409" s="319"/>
      <c r="E409" s="398"/>
      <c r="F409" s="401">
        <f ca="1">IF(Q4=0,"Bloqueado",E409*80.19)</f>
        <v>0</v>
      </c>
      <c r="G409" s="454"/>
      <c r="H409" s="454"/>
      <c r="I409" s="454"/>
      <c r="J409" s="454"/>
      <c r="K409" s="454"/>
      <c r="L409" s="454"/>
      <c r="M409" s="454"/>
      <c r="N409" s="126"/>
      <c r="O409" s="76"/>
      <c r="P409" s="126"/>
      <c r="Q409" s="126"/>
      <c r="R409" s="126"/>
      <c r="S409" s="126"/>
      <c r="T409" s="126"/>
      <c r="U409" s="126"/>
      <c r="V409" s="127"/>
    </row>
    <row r="410" spans="1:22" ht="13.5" thickBot="1" x14ac:dyDescent="0.25">
      <c r="A410" s="6"/>
      <c r="B410" s="129" t="s">
        <v>213</v>
      </c>
      <c r="C410" s="320"/>
      <c r="D410" s="320"/>
      <c r="E410" s="130"/>
      <c r="F410" s="125">
        <f ca="1">IF(P383&gt;2,"ERRO",IF(Q4=0,"Bloqueado",F365+F376+F380+F407+F409+F395+F405))</f>
        <v>0</v>
      </c>
      <c r="G410" s="454"/>
      <c r="H410" s="454"/>
      <c r="I410" s="454"/>
      <c r="J410" s="454"/>
      <c r="K410" s="454"/>
      <c r="L410" s="454"/>
      <c r="M410" s="454"/>
      <c r="N410" s="126"/>
      <c r="O410" s="76"/>
      <c r="P410" s="126"/>
      <c r="Q410" s="126"/>
      <c r="R410" s="126"/>
      <c r="S410" s="126"/>
      <c r="T410" s="126"/>
      <c r="U410" s="126"/>
      <c r="V410" s="127"/>
    </row>
    <row r="411" spans="1:22" ht="13.5" thickBot="1" x14ac:dyDescent="0.25">
      <c r="A411" s="6"/>
      <c r="B411" s="451"/>
      <c r="C411" s="451"/>
      <c r="D411" s="451"/>
      <c r="E411" s="7"/>
      <c r="F411" s="44"/>
      <c r="G411" s="454"/>
      <c r="H411" s="454"/>
      <c r="I411" s="454"/>
      <c r="J411" s="454"/>
      <c r="K411" s="454"/>
      <c r="L411" s="454"/>
      <c r="M411" s="454"/>
      <c r="N411" s="126"/>
      <c r="O411" s="76"/>
      <c r="P411" s="126"/>
      <c r="Q411" s="126"/>
      <c r="R411" s="126"/>
      <c r="S411" s="126"/>
      <c r="T411" s="126"/>
      <c r="U411" s="126"/>
      <c r="V411" s="127"/>
    </row>
    <row r="412" spans="1:22" x14ac:dyDescent="0.2">
      <c r="A412" s="6"/>
      <c r="B412" s="13" t="s">
        <v>214</v>
      </c>
      <c r="C412" s="278"/>
      <c r="D412" s="278"/>
      <c r="E412" s="12"/>
      <c r="F412" s="132"/>
      <c r="G412" s="454"/>
      <c r="H412" s="454"/>
      <c r="I412" s="454"/>
      <c r="J412" s="454"/>
      <c r="K412" s="454"/>
      <c r="L412" s="454"/>
      <c r="M412" s="454"/>
      <c r="N412" s="126"/>
      <c r="O412" s="76"/>
      <c r="P412" s="126"/>
      <c r="Q412" s="126"/>
      <c r="R412" s="126"/>
      <c r="S412" s="126"/>
      <c r="T412" s="126"/>
      <c r="U412" s="126"/>
      <c r="V412" s="127"/>
    </row>
    <row r="413" spans="1:22" ht="13.5" customHeight="1" thickBot="1" x14ac:dyDescent="0.25">
      <c r="A413" s="6"/>
      <c r="B413" s="396" t="s">
        <v>215</v>
      </c>
      <c r="C413" s="395"/>
      <c r="D413" s="395"/>
      <c r="E413" s="12"/>
      <c r="F413" s="132"/>
      <c r="G413" s="454"/>
      <c r="H413" s="454"/>
      <c r="I413" s="454"/>
      <c r="J413" s="454"/>
      <c r="K413" s="454"/>
      <c r="L413" s="454"/>
      <c r="M413" s="454"/>
      <c r="N413" s="126"/>
      <c r="O413" s="76"/>
      <c r="P413" s="126"/>
      <c r="Q413" s="126"/>
      <c r="R413" s="126"/>
      <c r="S413" s="126"/>
      <c r="T413" s="126"/>
      <c r="U413" s="126"/>
      <c r="V413" s="127"/>
    </row>
    <row r="414" spans="1:22" ht="13.5" thickBot="1" x14ac:dyDescent="0.25">
      <c r="A414" s="6"/>
      <c r="B414" s="140" t="s">
        <v>216</v>
      </c>
      <c r="C414" s="321"/>
      <c r="D414" s="321"/>
      <c r="E414" s="141"/>
      <c r="F414" s="142">
        <f ca="1">IF(Q4=0,"Bloqueado",E414*35.39)</f>
        <v>0</v>
      </c>
      <c r="G414" s="454"/>
      <c r="H414" s="454"/>
      <c r="I414" s="454"/>
      <c r="J414" s="454"/>
      <c r="K414" s="454"/>
      <c r="L414" s="454"/>
      <c r="M414" s="454"/>
      <c r="N414" s="126"/>
      <c r="O414" s="76"/>
      <c r="P414" s="126"/>
      <c r="Q414" s="126"/>
      <c r="R414" s="126"/>
      <c r="S414" s="126"/>
      <c r="T414" s="126"/>
      <c r="U414" s="126"/>
      <c r="V414" s="127"/>
    </row>
    <row r="415" spans="1:22" ht="13.5" thickBot="1" x14ac:dyDescent="0.25">
      <c r="A415" s="6"/>
      <c r="B415" s="131"/>
      <c r="C415" s="131"/>
      <c r="D415" s="131"/>
      <c r="E415" s="461"/>
      <c r="F415" s="44"/>
      <c r="G415" s="454"/>
      <c r="H415" s="454"/>
      <c r="I415" s="454"/>
      <c r="J415" s="454"/>
      <c r="K415" s="454"/>
      <c r="L415" s="454"/>
      <c r="M415" s="454"/>
      <c r="N415" s="126"/>
      <c r="O415" s="76"/>
      <c r="P415" s="126"/>
      <c r="Q415" s="126"/>
      <c r="R415" s="126"/>
      <c r="S415" s="126"/>
      <c r="T415" s="126"/>
      <c r="U415" s="126"/>
      <c r="V415" s="127"/>
    </row>
    <row r="416" spans="1:22" ht="13.5" thickBot="1" x14ac:dyDescent="0.25">
      <c r="A416" s="132"/>
      <c r="B416" s="13" t="s">
        <v>217</v>
      </c>
      <c r="C416" s="278"/>
      <c r="D416" s="278"/>
      <c r="E416" s="12"/>
      <c r="F416" s="132"/>
      <c r="G416" s="454"/>
      <c r="H416" s="454"/>
      <c r="I416" s="454"/>
      <c r="J416" s="454"/>
      <c r="K416" s="454"/>
      <c r="L416" s="454"/>
      <c r="M416" s="454"/>
    </row>
    <row r="417" spans="1:16" ht="13.5" thickBot="1" x14ac:dyDescent="0.25">
      <c r="A417" s="132"/>
      <c r="B417" s="140" t="s">
        <v>218</v>
      </c>
      <c r="C417" s="321"/>
      <c r="D417" s="321"/>
      <c r="E417" s="141"/>
      <c r="F417" s="142">
        <f ca="1">IF(Q4=0,"Bloqueado",E417)</f>
        <v>0</v>
      </c>
      <c r="G417" s="454"/>
      <c r="H417" s="454"/>
      <c r="I417" s="454"/>
      <c r="J417" s="454"/>
      <c r="K417" s="454"/>
      <c r="L417" s="454"/>
      <c r="M417" s="454"/>
    </row>
    <row r="418" spans="1:16" ht="13.5" thickBot="1" x14ac:dyDescent="0.25">
      <c r="A418" s="132"/>
      <c r="B418" s="12"/>
      <c r="C418" s="12"/>
      <c r="D418" s="12"/>
      <c r="E418" s="12"/>
      <c r="F418" s="132"/>
      <c r="G418" s="512" t="str">
        <f>IF((O418+O420+O422+O426)=0,"Falta escolher a conta do Distribuidor",IF((O418+O420+O422+O426)=1,"","Escolher somente uma Conta de Distribuidor"))</f>
        <v>Falta escolher a conta do Distribuidor</v>
      </c>
      <c r="H418" s="512"/>
      <c r="I418" s="512"/>
      <c r="J418" s="512"/>
      <c r="K418" s="512"/>
      <c r="L418" s="512"/>
      <c r="M418" s="452"/>
      <c r="O418" s="5">
        <f>IF(E433="",0,1)</f>
        <v>0</v>
      </c>
      <c r="P418" s="4">
        <f>COUNTA(E433:E441)</f>
        <v>0</v>
      </c>
    </row>
    <row r="419" spans="1:16" ht="15" customHeight="1" thickBot="1" x14ac:dyDescent="0.25">
      <c r="A419" s="6"/>
      <c r="B419" s="13" t="s">
        <v>219</v>
      </c>
      <c r="C419" s="278"/>
      <c r="D419" s="278"/>
      <c r="E419" s="7"/>
      <c r="F419" s="44"/>
      <c r="G419" s="454"/>
      <c r="H419" s="454"/>
      <c r="I419" s="454"/>
      <c r="J419" s="454"/>
      <c r="K419" s="454"/>
      <c r="L419" s="454"/>
      <c r="M419" s="454"/>
    </row>
    <row r="420" spans="1:16" x14ac:dyDescent="0.2">
      <c r="A420" s="6"/>
      <c r="B420" s="15" t="s">
        <v>220</v>
      </c>
      <c r="C420" s="279"/>
      <c r="D420" s="279"/>
      <c r="E420" s="143"/>
      <c r="F420" s="144"/>
      <c r="G420" s="454"/>
      <c r="H420" s="454"/>
      <c r="I420" s="454"/>
      <c r="J420" s="454"/>
      <c r="K420" s="454"/>
      <c r="L420" s="454"/>
      <c r="M420" s="454"/>
      <c r="O420" s="5">
        <f>IF(E435="",0,1)</f>
        <v>0</v>
      </c>
    </row>
    <row r="421" spans="1:16" ht="6.75" customHeight="1" x14ac:dyDescent="0.2">
      <c r="A421" s="6"/>
      <c r="B421" s="22"/>
      <c r="C421" s="131"/>
      <c r="D421" s="131"/>
      <c r="E421" s="7"/>
      <c r="F421" s="25"/>
      <c r="G421" s="454"/>
      <c r="H421" s="454"/>
      <c r="I421" s="454"/>
      <c r="J421" s="454"/>
      <c r="K421" s="454"/>
      <c r="L421" s="454"/>
      <c r="M421" s="454"/>
    </row>
    <row r="422" spans="1:16" x14ac:dyDescent="0.2">
      <c r="A422" s="6"/>
      <c r="B422" s="22" t="s">
        <v>221</v>
      </c>
      <c r="C422" s="131"/>
      <c r="D422" s="131"/>
      <c r="E422" s="27"/>
      <c r="F422" s="28">
        <f ca="1">IF($Q$4=0,"Bloqueado",E422*138.29)</f>
        <v>0</v>
      </c>
      <c r="G422" s="454"/>
      <c r="H422" s="454"/>
      <c r="I422" s="454"/>
      <c r="J422" s="454"/>
      <c r="K422" s="454"/>
      <c r="L422" s="454"/>
      <c r="M422" s="454"/>
      <c r="O422" s="5">
        <f>IF(E437="",0,1)</f>
        <v>0</v>
      </c>
    </row>
    <row r="423" spans="1:16" ht="6.75" customHeight="1" x14ac:dyDescent="0.2">
      <c r="A423" s="6"/>
      <c r="B423" s="18"/>
      <c r="C423" s="50"/>
      <c r="D423" s="50"/>
      <c r="E423" s="479"/>
      <c r="F423" s="28"/>
      <c r="G423" s="454"/>
      <c r="H423" s="454"/>
      <c r="I423" s="454"/>
      <c r="J423" s="454"/>
      <c r="K423" s="454"/>
      <c r="L423" s="454"/>
      <c r="M423" s="454"/>
    </row>
    <row r="424" spans="1:16" ht="12.75" customHeight="1" x14ac:dyDescent="0.2">
      <c r="A424" s="6"/>
      <c r="B424" s="33" t="s">
        <v>222</v>
      </c>
      <c r="C424" s="280"/>
      <c r="D424" s="280"/>
      <c r="E424" s="27"/>
      <c r="F424" s="28">
        <f ca="1">IF($Q$4=0,"Bloqueado",E424*198.35)</f>
        <v>0</v>
      </c>
      <c r="G424" s="454"/>
      <c r="H424" s="454"/>
      <c r="I424" s="454"/>
      <c r="J424" s="454"/>
      <c r="K424" s="454"/>
      <c r="L424" s="454"/>
      <c r="M424" s="454"/>
    </row>
    <row r="425" spans="1:16" ht="6.75" customHeight="1" x14ac:dyDescent="0.2">
      <c r="A425" s="6"/>
      <c r="B425" s="18"/>
      <c r="C425" s="50"/>
      <c r="D425" s="50"/>
      <c r="E425" s="479"/>
      <c r="F425" s="28"/>
      <c r="G425" s="454"/>
      <c r="H425" s="454"/>
      <c r="I425" s="454"/>
      <c r="J425" s="454"/>
      <c r="K425" s="454"/>
      <c r="L425" s="454"/>
      <c r="M425" s="454"/>
    </row>
    <row r="426" spans="1:16" ht="12.75" customHeight="1" x14ac:dyDescent="0.2">
      <c r="A426" s="6"/>
      <c r="B426" s="34" t="s">
        <v>223</v>
      </c>
      <c r="C426" s="282"/>
      <c r="D426" s="282"/>
      <c r="E426" s="27"/>
      <c r="F426" s="28">
        <f ca="1">IF($Q$4=0,"Bloqueado",E426*230.33)</f>
        <v>0</v>
      </c>
      <c r="G426" s="454"/>
      <c r="H426" s="454"/>
      <c r="I426" s="454"/>
      <c r="J426" s="454"/>
      <c r="K426" s="454"/>
      <c r="L426" s="454"/>
      <c r="M426" s="454"/>
    </row>
    <row r="427" spans="1:16" x14ac:dyDescent="0.2">
      <c r="A427" s="6"/>
      <c r="B427" s="18"/>
      <c r="C427" s="50"/>
      <c r="D427" s="50"/>
      <c r="E427" s="479"/>
      <c r="F427" s="28"/>
      <c r="G427" s="454"/>
      <c r="H427" s="454"/>
      <c r="I427" s="454"/>
      <c r="J427" s="454"/>
      <c r="K427" s="454"/>
      <c r="L427" s="454"/>
      <c r="M427" s="454"/>
    </row>
    <row r="428" spans="1:16" ht="13.5" thickBot="1" x14ac:dyDescent="0.25">
      <c r="A428" s="6"/>
      <c r="B428" s="63" t="s">
        <v>224</v>
      </c>
      <c r="C428" s="301"/>
      <c r="D428" s="301"/>
      <c r="E428" s="49"/>
      <c r="F428" s="38">
        <f ca="1">IF(Q4=0,"Bloqueado",IF(E428="",0,E428*438.02))</f>
        <v>0</v>
      </c>
      <c r="G428" s="514"/>
      <c r="H428" s="514"/>
      <c r="I428" s="514"/>
      <c r="J428" s="514"/>
      <c r="K428" s="514"/>
      <c r="L428" s="514"/>
      <c r="M428" s="452"/>
      <c r="P428" s="1"/>
    </row>
    <row r="429" spans="1:16" ht="6.75" customHeight="1" x14ac:dyDescent="0.2">
      <c r="A429" s="6"/>
      <c r="B429" s="50"/>
      <c r="C429" s="50"/>
      <c r="D429" s="50"/>
      <c r="E429" s="461"/>
      <c r="F429" s="44"/>
      <c r="G429" s="452"/>
      <c r="H429" s="452"/>
      <c r="I429" s="452"/>
      <c r="J429" s="452"/>
      <c r="K429" s="452"/>
      <c r="L429" s="452"/>
      <c r="M429" s="452"/>
    </row>
    <row r="430" spans="1:16" ht="13.5" thickBot="1" x14ac:dyDescent="0.25">
      <c r="A430" s="6"/>
      <c r="B430" s="451"/>
      <c r="C430" s="451"/>
      <c r="D430" s="451"/>
      <c r="E430" s="7"/>
      <c r="F430" s="44"/>
      <c r="G430" s="452"/>
      <c r="H430" s="452"/>
      <c r="I430" s="452"/>
      <c r="J430" s="452"/>
      <c r="K430" s="452"/>
      <c r="L430" s="452"/>
      <c r="M430" s="452"/>
    </row>
    <row r="431" spans="1:16" ht="12" customHeight="1" thickBot="1" x14ac:dyDescent="0.25">
      <c r="A431" s="6"/>
      <c r="B431" s="145" t="s">
        <v>225</v>
      </c>
      <c r="C431" s="448"/>
      <c r="D431" s="448"/>
      <c r="E431" s="7"/>
      <c r="F431" s="44"/>
      <c r="G431" s="454"/>
      <c r="H431" s="454"/>
      <c r="I431" s="454"/>
      <c r="J431" s="454"/>
      <c r="K431" s="454"/>
      <c r="L431" s="454"/>
      <c r="M431" s="454"/>
    </row>
    <row r="432" spans="1:16" ht="13.5" thickBot="1" x14ac:dyDescent="0.25">
      <c r="A432" s="6"/>
      <c r="B432" s="107" t="s">
        <v>226</v>
      </c>
      <c r="C432" s="297"/>
      <c r="D432" s="297"/>
      <c r="E432" s="7"/>
      <c r="F432" s="7"/>
      <c r="G432" s="454"/>
      <c r="H432" s="454"/>
      <c r="I432" s="454"/>
      <c r="J432" s="454"/>
      <c r="K432" s="454"/>
      <c r="L432" s="454"/>
      <c r="M432" s="454"/>
      <c r="P432" s="1"/>
    </row>
    <row r="433" spans="1:16" ht="12" customHeight="1" x14ac:dyDescent="0.2">
      <c r="A433" s="6"/>
      <c r="B433" s="146" t="s">
        <v>227</v>
      </c>
      <c r="C433" s="322"/>
      <c r="D433" s="322"/>
      <c r="E433" s="147"/>
      <c r="F433" s="148"/>
      <c r="G433" s="454"/>
      <c r="H433" s="454"/>
      <c r="I433" s="454"/>
      <c r="J433" s="454"/>
      <c r="K433" s="454"/>
      <c r="L433" s="454"/>
      <c r="M433" s="454"/>
    </row>
    <row r="434" spans="1:16" x14ac:dyDescent="0.2">
      <c r="A434" s="6"/>
      <c r="B434" s="29"/>
      <c r="C434" s="451"/>
      <c r="D434" s="451"/>
      <c r="E434" s="7"/>
      <c r="F434" s="56"/>
      <c r="G434" s="454"/>
      <c r="H434" s="454"/>
      <c r="I434" s="454"/>
      <c r="J434" s="454"/>
      <c r="K434" s="454"/>
      <c r="L434" s="454"/>
      <c r="M434" s="454"/>
    </row>
    <row r="435" spans="1:16" ht="11.25" customHeight="1" x14ac:dyDescent="0.2">
      <c r="A435" s="6"/>
      <c r="B435" s="29" t="s">
        <v>228</v>
      </c>
      <c r="C435" s="451"/>
      <c r="D435" s="451"/>
      <c r="E435" s="20"/>
      <c r="F435" s="56"/>
      <c r="G435" s="454"/>
      <c r="H435" s="454"/>
      <c r="I435" s="454"/>
      <c r="J435" s="454"/>
      <c r="K435" s="454"/>
      <c r="L435" s="454"/>
      <c r="M435" s="454"/>
    </row>
    <row r="436" spans="1:16" x14ac:dyDescent="0.2">
      <c r="A436" s="6"/>
      <c r="B436" s="29"/>
      <c r="C436" s="451"/>
      <c r="D436" s="451"/>
      <c r="E436" s="65"/>
      <c r="F436" s="56"/>
      <c r="G436" s="454"/>
      <c r="H436" s="454"/>
      <c r="I436" s="454"/>
      <c r="J436" s="454"/>
      <c r="K436" s="454"/>
      <c r="L436" s="454"/>
      <c r="M436" s="454"/>
      <c r="O436" s="5">
        <f>IF(E451&lt;2,0,E451-2)</f>
        <v>0</v>
      </c>
      <c r="P436" s="4">
        <f>O436*0.94</f>
        <v>0</v>
      </c>
    </row>
    <row r="437" spans="1:16" ht="10.5" customHeight="1" x14ac:dyDescent="0.2">
      <c r="A437" s="6"/>
      <c r="B437" s="29" t="s">
        <v>229</v>
      </c>
      <c r="C437" s="451"/>
      <c r="D437" s="451"/>
      <c r="E437" s="20"/>
      <c r="F437" s="56"/>
      <c r="G437" s="454"/>
      <c r="H437" s="454"/>
      <c r="I437" s="454"/>
      <c r="J437" s="454"/>
      <c r="K437" s="454"/>
      <c r="L437" s="454"/>
      <c r="M437" s="454"/>
    </row>
    <row r="438" spans="1:16" x14ac:dyDescent="0.2">
      <c r="A438" s="6"/>
      <c r="B438" s="29"/>
      <c r="C438" s="451"/>
      <c r="D438" s="451"/>
      <c r="E438" s="65"/>
      <c r="F438" s="56"/>
      <c r="G438" s="454"/>
      <c r="H438" s="454"/>
      <c r="I438" s="454"/>
      <c r="J438" s="454"/>
      <c r="K438" s="454"/>
      <c r="L438" s="454"/>
      <c r="M438" s="454"/>
    </row>
    <row r="439" spans="1:16" x14ac:dyDescent="0.2">
      <c r="A439" s="6"/>
      <c r="B439" s="29" t="s">
        <v>230</v>
      </c>
      <c r="C439" s="451"/>
      <c r="D439" s="451"/>
      <c r="E439" s="71"/>
      <c r="F439" s="56"/>
      <c r="G439" s="454"/>
      <c r="H439" s="454"/>
      <c r="I439" s="454"/>
      <c r="J439" s="454"/>
      <c r="K439" s="454"/>
      <c r="L439" s="454"/>
      <c r="M439" s="454"/>
    </row>
    <row r="440" spans="1:16" x14ac:dyDescent="0.2">
      <c r="A440" s="6"/>
      <c r="B440" s="29"/>
      <c r="C440" s="451"/>
      <c r="D440" s="451"/>
      <c r="E440" s="65"/>
      <c r="F440" s="56"/>
      <c r="G440" s="454"/>
      <c r="H440" s="454"/>
      <c r="I440" s="454"/>
      <c r="J440" s="454"/>
      <c r="K440" s="454"/>
      <c r="L440" s="454"/>
      <c r="M440" s="454"/>
    </row>
    <row r="441" spans="1:16" ht="13.5" thickBot="1" x14ac:dyDescent="0.25">
      <c r="A441" s="6"/>
      <c r="B441" s="73" t="s">
        <v>231</v>
      </c>
      <c r="C441" s="294"/>
      <c r="D441" s="294"/>
      <c r="E441" s="149"/>
      <c r="F441" s="150"/>
      <c r="G441" s="454"/>
      <c r="H441" s="454"/>
      <c r="I441" s="454"/>
      <c r="J441" s="454"/>
      <c r="K441" s="454"/>
      <c r="L441" s="454"/>
      <c r="M441" s="454"/>
    </row>
    <row r="442" spans="1:16" ht="13.5" thickBot="1" x14ac:dyDescent="0.25">
      <c r="A442" s="6"/>
      <c r="B442" s="122" t="s">
        <v>232</v>
      </c>
      <c r="C442" s="306"/>
      <c r="D442" s="306"/>
      <c r="E442" s="7"/>
      <c r="F442" s="7"/>
      <c r="G442" s="512" t="str">
        <f>IF((O442+O444+O446+O450)=0,"Falta escolher a conta do Distribuidor",IF((O442+O444+O446+O450)=1,"","Escolher somente uma Conta de Distribuidor"))</f>
        <v>Falta escolher a conta do Distribuidor</v>
      </c>
      <c r="H442" s="512"/>
      <c r="I442" s="512"/>
      <c r="J442" s="512"/>
      <c r="K442" s="512"/>
      <c r="L442" s="512"/>
      <c r="M442" s="452"/>
      <c r="O442" s="5">
        <f>IF(E457="",0,1)</f>
        <v>0</v>
      </c>
      <c r="P442" s="4">
        <f>COUNTA(E457:E465)</f>
        <v>0</v>
      </c>
    </row>
    <row r="443" spans="1:16" ht="11.25" customHeight="1" x14ac:dyDescent="0.2">
      <c r="A443" s="6"/>
      <c r="B443" s="77" t="s">
        <v>233</v>
      </c>
      <c r="C443" s="323"/>
      <c r="D443" s="323"/>
      <c r="E443" s="67"/>
      <c r="F443" s="52">
        <f ca="1">IF(Q4=0,"Bloqueado",IF(E443="",0,71.26))</f>
        <v>0</v>
      </c>
      <c r="G443" s="454"/>
      <c r="H443" s="454"/>
      <c r="I443" s="454"/>
      <c r="J443" s="454"/>
      <c r="K443" s="454"/>
      <c r="L443" s="454"/>
      <c r="M443" s="454"/>
    </row>
    <row r="444" spans="1:16" x14ac:dyDescent="0.2">
      <c r="A444" s="6"/>
      <c r="B444" s="436" t="s">
        <v>371</v>
      </c>
      <c r="C444" s="456"/>
      <c r="D444" s="456"/>
      <c r="E444" s="434"/>
      <c r="F444" s="19">
        <f ca="1">IF(Q4=0,"Bloqueado",IF(E444="",0,35.63))</f>
        <v>0</v>
      </c>
      <c r="G444" s="454"/>
      <c r="H444" s="454"/>
      <c r="I444" s="454"/>
      <c r="J444" s="454"/>
      <c r="K444" s="454"/>
      <c r="L444" s="454"/>
      <c r="M444" s="454"/>
      <c r="O444" s="5">
        <f>IF(E459="",0,1)</f>
        <v>0</v>
      </c>
    </row>
    <row r="445" spans="1:16" ht="15" customHeight="1" x14ac:dyDescent="0.2">
      <c r="A445" s="6"/>
      <c r="B445" s="24"/>
      <c r="C445" s="456"/>
      <c r="D445" s="456"/>
      <c r="E445" s="65"/>
      <c r="F445" s="19">
        <f ca="1">ROUNDDOWN(F443*0.02,2)+ROUNDDOWN(F444*0.02,2)</f>
        <v>0</v>
      </c>
      <c r="G445" s="454"/>
      <c r="H445" s="454"/>
      <c r="I445" s="454"/>
      <c r="J445" s="454"/>
      <c r="K445" s="454"/>
      <c r="L445" s="454"/>
      <c r="M445" s="454"/>
    </row>
    <row r="446" spans="1:16" x14ac:dyDescent="0.2">
      <c r="A446" s="6"/>
      <c r="B446" s="22"/>
      <c r="C446" s="131"/>
      <c r="D446" s="131"/>
      <c r="E446" s="7"/>
      <c r="F446" s="56"/>
      <c r="G446" s="454"/>
      <c r="H446" s="454"/>
      <c r="I446" s="454"/>
      <c r="J446" s="454"/>
      <c r="K446" s="454"/>
      <c r="L446" s="454"/>
      <c r="M446" s="454"/>
      <c r="O446" s="5">
        <f>IF(E461="",0,1)</f>
        <v>0</v>
      </c>
    </row>
    <row r="447" spans="1:16" ht="12" customHeight="1" x14ac:dyDescent="0.2">
      <c r="A447" s="6"/>
      <c r="B447" s="30" t="s">
        <v>234</v>
      </c>
      <c r="C447" s="456"/>
      <c r="D447" s="456"/>
      <c r="E447" s="20"/>
      <c r="F447" s="25">
        <f ca="1">IF(Q4=0,"Bloqueado",IF(E447="",0,35.63))</f>
        <v>0</v>
      </c>
      <c r="G447" s="454"/>
      <c r="H447" s="454"/>
      <c r="I447" s="454"/>
      <c r="J447" s="454"/>
      <c r="K447" s="454"/>
      <c r="L447" s="454"/>
      <c r="M447" s="454"/>
    </row>
    <row r="448" spans="1:16" ht="12.75" customHeight="1" x14ac:dyDescent="0.2">
      <c r="A448" s="6"/>
      <c r="B448" s="436" t="s">
        <v>372</v>
      </c>
      <c r="C448" s="456"/>
      <c r="D448" s="456"/>
      <c r="E448" s="435"/>
      <c r="F448" s="25">
        <f ca="1">IF(Q4=0,"Bloqueado",IF(E448="",0,35.63))</f>
        <v>0</v>
      </c>
      <c r="G448" s="454"/>
      <c r="H448" s="454"/>
      <c r="I448" s="454"/>
      <c r="J448" s="454"/>
      <c r="K448" s="454"/>
      <c r="L448" s="454"/>
      <c r="M448" s="454"/>
    </row>
    <row r="449" spans="1:16" ht="11.25" customHeight="1" x14ac:dyDescent="0.2">
      <c r="A449" s="6"/>
      <c r="B449" s="24"/>
      <c r="C449" s="456"/>
      <c r="D449" s="456"/>
      <c r="E449" s="7"/>
      <c r="F449" s="19">
        <f ca="1">ROUNDDOWN(F447*0.02,2)+ROUNDDOWN(F448*0.02,2)</f>
        <v>0</v>
      </c>
      <c r="G449" s="454"/>
      <c r="H449" s="454"/>
      <c r="I449" s="454"/>
      <c r="J449" s="454"/>
      <c r="K449" s="454"/>
      <c r="L449" s="454"/>
      <c r="M449" s="454"/>
    </row>
    <row r="450" spans="1:16" x14ac:dyDescent="0.2">
      <c r="A450" s="6"/>
      <c r="B450" s="152"/>
      <c r="C450" s="324"/>
      <c r="D450" s="324"/>
      <c r="E450" s="7"/>
      <c r="F450" s="56"/>
      <c r="G450" s="454"/>
      <c r="H450" s="454"/>
      <c r="I450" s="454"/>
      <c r="J450" s="454"/>
      <c r="K450" s="454"/>
      <c r="L450" s="454"/>
      <c r="M450" s="454"/>
    </row>
    <row r="451" spans="1:16" x14ac:dyDescent="0.2">
      <c r="A451" s="6"/>
      <c r="B451" s="24" t="s">
        <v>235</v>
      </c>
      <c r="C451" s="456"/>
      <c r="D451" s="456"/>
      <c r="E451" s="20"/>
      <c r="F451" s="25"/>
      <c r="G451" s="454"/>
      <c r="H451" s="454"/>
      <c r="I451" s="454"/>
      <c r="J451" s="454"/>
      <c r="K451" s="454"/>
      <c r="L451" s="454"/>
      <c r="M451" s="454"/>
    </row>
    <row r="452" spans="1:16" x14ac:dyDescent="0.2">
      <c r="A452" s="6"/>
      <c r="B452" s="24"/>
      <c r="C452" s="456"/>
      <c r="D452" s="456"/>
      <c r="E452" s="461"/>
      <c r="F452" s="56"/>
      <c r="G452" s="514"/>
      <c r="H452" s="514"/>
      <c r="I452" s="514"/>
      <c r="J452" s="514"/>
      <c r="K452" s="514"/>
      <c r="L452" s="514"/>
      <c r="M452" s="452"/>
      <c r="P452" s="1"/>
    </row>
    <row r="453" spans="1:16" ht="15" customHeight="1" thickBot="1" x14ac:dyDescent="0.25">
      <c r="A453" s="6"/>
      <c r="B453" s="73" t="s">
        <v>91</v>
      </c>
      <c r="C453" s="294"/>
      <c r="D453" s="294"/>
      <c r="E453" s="480"/>
      <c r="F453" s="60">
        <f ca="1">F443+F444+F447+F448+P436</f>
        <v>0</v>
      </c>
      <c r="G453" s="452"/>
      <c r="H453" s="442"/>
      <c r="I453" s="452"/>
      <c r="J453" s="452"/>
      <c r="K453" s="452"/>
      <c r="L453" s="452"/>
      <c r="M453" s="452"/>
    </row>
    <row r="454" spans="1:16" ht="13.5" thickBot="1" x14ac:dyDescent="0.25">
      <c r="A454" s="6"/>
      <c r="B454" s="456"/>
      <c r="C454" s="456"/>
      <c r="D454" s="456"/>
      <c r="E454" s="461"/>
      <c r="F454" s="7"/>
      <c r="G454" s="452"/>
      <c r="H454" s="452"/>
      <c r="I454" s="452"/>
      <c r="J454" s="452"/>
      <c r="K454" s="452"/>
      <c r="L454" s="452"/>
      <c r="M454" s="452"/>
    </row>
    <row r="455" spans="1:16" ht="16.5" customHeight="1" thickBot="1" x14ac:dyDescent="0.25">
      <c r="A455" s="6"/>
      <c r="B455" s="145" t="s">
        <v>236</v>
      </c>
      <c r="C455" s="448"/>
      <c r="D455" s="448"/>
      <c r="E455" s="7"/>
      <c r="F455" s="44"/>
      <c r="G455" s="454"/>
      <c r="H455" s="454"/>
      <c r="I455" s="454"/>
      <c r="J455" s="454"/>
      <c r="K455" s="454"/>
      <c r="L455" s="454"/>
      <c r="M455" s="454"/>
    </row>
    <row r="456" spans="1:16" ht="12.75" customHeight="1" thickBot="1" x14ac:dyDescent="0.25">
      <c r="A456" s="6"/>
      <c r="B456" s="107" t="s">
        <v>226</v>
      </c>
      <c r="C456" s="297"/>
      <c r="D456" s="297"/>
      <c r="E456" s="7"/>
      <c r="F456" s="7"/>
      <c r="G456" s="454"/>
      <c r="H456" s="454"/>
      <c r="I456" s="454"/>
      <c r="J456" s="454"/>
      <c r="K456" s="454"/>
      <c r="L456" s="454"/>
      <c r="M456" s="454"/>
      <c r="P456" s="1"/>
    </row>
    <row r="457" spans="1:16" ht="13.5" customHeight="1" x14ac:dyDescent="0.2">
      <c r="A457" s="6"/>
      <c r="B457" s="146" t="s">
        <v>227</v>
      </c>
      <c r="C457" s="322"/>
      <c r="D457" s="322"/>
      <c r="E457" s="147"/>
      <c r="F457" s="148"/>
      <c r="G457" s="454"/>
      <c r="H457" s="454"/>
      <c r="I457" s="454"/>
      <c r="J457" s="454"/>
      <c r="K457" s="454"/>
      <c r="L457" s="454"/>
      <c r="M457" s="454"/>
    </row>
    <row r="458" spans="1:16" ht="12.75" customHeight="1" x14ac:dyDescent="0.2">
      <c r="A458" s="6"/>
      <c r="B458" s="29"/>
      <c r="C458" s="451"/>
      <c r="D458" s="451"/>
      <c r="E458" s="7"/>
      <c r="F458" s="56"/>
      <c r="G458" s="454"/>
      <c r="H458" s="454"/>
      <c r="I458" s="454"/>
      <c r="J458" s="454"/>
      <c r="K458" s="454"/>
      <c r="L458" s="454"/>
      <c r="M458" s="454"/>
    </row>
    <row r="459" spans="1:16" ht="13.5" customHeight="1" x14ac:dyDescent="0.2">
      <c r="A459" s="6"/>
      <c r="B459" s="29" t="s">
        <v>228</v>
      </c>
      <c r="C459" s="451"/>
      <c r="D459" s="451"/>
      <c r="E459" s="20"/>
      <c r="F459" s="56"/>
      <c r="G459" s="454"/>
      <c r="H459" s="454"/>
      <c r="I459" s="454"/>
      <c r="J459" s="454"/>
      <c r="K459" s="454"/>
      <c r="L459" s="454"/>
      <c r="M459" s="454"/>
    </row>
    <row r="460" spans="1:16" ht="11.25" customHeight="1" x14ac:dyDescent="0.2">
      <c r="A460" s="6"/>
      <c r="B460" s="29"/>
      <c r="C460" s="451"/>
      <c r="D460" s="451"/>
      <c r="E460" s="65"/>
      <c r="F460" s="56"/>
      <c r="G460" s="454"/>
      <c r="H460" s="454"/>
      <c r="I460" s="454"/>
      <c r="J460" s="454"/>
      <c r="K460" s="454"/>
      <c r="L460" s="454"/>
      <c r="M460" s="454"/>
      <c r="O460" s="5">
        <f>IF(E475&lt;2,0,E475-2)</f>
        <v>0</v>
      </c>
      <c r="P460" s="4">
        <f>O460*0.94</f>
        <v>0</v>
      </c>
    </row>
    <row r="461" spans="1:16" ht="10.5" customHeight="1" x14ac:dyDescent="0.2">
      <c r="A461" s="6"/>
      <c r="B461" s="29" t="s">
        <v>229</v>
      </c>
      <c r="C461" s="451"/>
      <c r="D461" s="451"/>
      <c r="E461" s="20"/>
      <c r="F461" s="56"/>
      <c r="G461" s="454"/>
      <c r="H461" s="454"/>
      <c r="I461" s="454"/>
      <c r="J461" s="454"/>
      <c r="K461" s="454"/>
      <c r="L461" s="454"/>
      <c r="M461" s="454"/>
    </row>
    <row r="462" spans="1:16" ht="12.75" customHeight="1" x14ac:dyDescent="0.2">
      <c r="A462" s="6"/>
      <c r="B462" s="29"/>
      <c r="C462" s="451"/>
      <c r="D462" s="451"/>
      <c r="E462" s="65"/>
      <c r="F462" s="56"/>
      <c r="G462" s="454"/>
      <c r="H462" s="454"/>
      <c r="I462" s="454"/>
      <c r="J462" s="454"/>
      <c r="K462" s="454"/>
      <c r="L462" s="454"/>
      <c r="M462" s="454"/>
    </row>
    <row r="463" spans="1:16" x14ac:dyDescent="0.2">
      <c r="A463" s="6"/>
      <c r="B463" s="29" t="s">
        <v>230</v>
      </c>
      <c r="C463" s="451"/>
      <c r="D463" s="451"/>
      <c r="E463" s="71"/>
      <c r="F463" s="56"/>
      <c r="G463" s="454"/>
      <c r="H463" s="454"/>
      <c r="I463" s="454"/>
      <c r="J463" s="454"/>
      <c r="K463" s="454"/>
      <c r="L463" s="454"/>
      <c r="M463" s="454"/>
    </row>
    <row r="464" spans="1:16" x14ac:dyDescent="0.2">
      <c r="A464" s="6"/>
      <c r="B464" s="29"/>
      <c r="C464" s="451"/>
      <c r="D464" s="451"/>
      <c r="E464" s="65"/>
      <c r="F464" s="56"/>
      <c r="G464" s="454"/>
      <c r="H464" s="454"/>
      <c r="I464" s="454"/>
      <c r="J464" s="454"/>
      <c r="K464" s="454"/>
      <c r="L464" s="454"/>
      <c r="M464" s="454"/>
    </row>
    <row r="465" spans="1:16" ht="13.5" thickBot="1" x14ac:dyDescent="0.25">
      <c r="A465" s="6"/>
      <c r="B465" s="73" t="s">
        <v>231</v>
      </c>
      <c r="C465" s="294"/>
      <c r="D465" s="294"/>
      <c r="E465" s="149"/>
      <c r="F465" s="150"/>
      <c r="G465" s="454"/>
      <c r="H465" s="454"/>
      <c r="I465" s="454"/>
      <c r="J465" s="454"/>
      <c r="K465" s="454"/>
      <c r="L465" s="454"/>
      <c r="M465" s="454"/>
    </row>
    <row r="466" spans="1:16" ht="13.5" thickBot="1" x14ac:dyDescent="0.25">
      <c r="A466" s="6"/>
      <c r="B466" s="128" t="s">
        <v>232</v>
      </c>
      <c r="C466" s="306"/>
      <c r="D466" s="306"/>
      <c r="E466" s="7"/>
      <c r="F466" s="7"/>
      <c r="G466" s="512" t="str">
        <f>IF((O466+O468+O470+O474)=0,"Falta escolher a conta do Distribuidor",IF((O466+O468+O470+O474)=1,"","Escolher somente uma Conta de Distribuidor"))</f>
        <v>Falta escolher a conta do Distribuidor</v>
      </c>
      <c r="H466" s="512"/>
      <c r="I466" s="512"/>
      <c r="J466" s="512"/>
      <c r="K466" s="512"/>
      <c r="L466" s="512"/>
      <c r="M466" s="452"/>
      <c r="O466" s="5">
        <f>IF(E481="",0,1)</f>
        <v>0</v>
      </c>
      <c r="P466" s="4">
        <f>COUNTA(E481:E489)</f>
        <v>0</v>
      </c>
    </row>
    <row r="467" spans="1:16" ht="13.5" customHeight="1" thickBot="1" x14ac:dyDescent="0.25">
      <c r="A467" s="6"/>
      <c r="B467" s="77" t="s">
        <v>233</v>
      </c>
      <c r="C467" s="323"/>
      <c r="D467" s="323"/>
      <c r="E467" s="67"/>
      <c r="F467" s="52">
        <f ca="1">IF($Q$4=0,"Bloqueado",IF(E467="",0,71.26))</f>
        <v>0</v>
      </c>
      <c r="G467" s="454"/>
      <c r="H467" s="454"/>
      <c r="I467" s="454"/>
      <c r="J467" s="454"/>
      <c r="K467" s="454"/>
      <c r="L467" s="454"/>
      <c r="M467" s="454"/>
    </row>
    <row r="468" spans="1:16" x14ac:dyDescent="0.2">
      <c r="A468" s="6"/>
      <c r="B468" s="436" t="s">
        <v>371</v>
      </c>
      <c r="C468" s="456"/>
      <c r="D468" s="456"/>
      <c r="E468" s="434"/>
      <c r="F468" s="52">
        <f ca="1">IF($Q$4=0,"Bloqueado",IF(E468="",0,35.63))</f>
        <v>0</v>
      </c>
      <c r="G468" s="454"/>
      <c r="H468" s="454"/>
      <c r="I468" s="454"/>
      <c r="J468" s="454"/>
      <c r="K468" s="454"/>
      <c r="L468" s="454"/>
      <c r="M468" s="454"/>
      <c r="O468" s="5">
        <f>IF(E483="",0,1)</f>
        <v>0</v>
      </c>
    </row>
    <row r="469" spans="1:16" ht="12.75" customHeight="1" x14ac:dyDescent="0.2">
      <c r="A469" s="6"/>
      <c r="B469" s="24"/>
      <c r="C469" s="456"/>
      <c r="D469" s="456"/>
      <c r="E469" s="65"/>
      <c r="F469" s="19">
        <f ca="1">ROUNDDOWN(F467*0.02,2)+ROUNDDOWN(F468*0.02,2)</f>
        <v>0</v>
      </c>
      <c r="G469" s="454"/>
      <c r="H469" s="454"/>
      <c r="I469" s="454"/>
      <c r="J469" s="454"/>
      <c r="K469" s="454"/>
      <c r="L469" s="454"/>
      <c r="M469" s="454"/>
    </row>
    <row r="470" spans="1:16" x14ac:dyDescent="0.2">
      <c r="A470" s="6"/>
      <c r="B470" s="22"/>
      <c r="C470" s="131"/>
      <c r="D470" s="131"/>
      <c r="E470" s="7"/>
      <c r="F470" s="56"/>
      <c r="G470" s="454"/>
      <c r="H470" s="454"/>
      <c r="I470" s="454"/>
      <c r="J470" s="454"/>
      <c r="K470" s="454"/>
      <c r="L470" s="454"/>
      <c r="M470" s="454"/>
      <c r="O470" s="5">
        <f>IF(E485="",0,1)</f>
        <v>0</v>
      </c>
    </row>
    <row r="471" spans="1:16" ht="10.5" customHeight="1" x14ac:dyDescent="0.2">
      <c r="A471" s="6"/>
      <c r="B471" s="30" t="s">
        <v>234</v>
      </c>
      <c r="C471" s="456"/>
      <c r="D471" s="456"/>
      <c r="E471" s="20"/>
      <c r="F471" s="25">
        <f ca="1">IF($Q$4=0,"Bloqueado",IF(E471="",0,35.63))</f>
        <v>0</v>
      </c>
      <c r="G471" s="454"/>
      <c r="H471" s="454"/>
      <c r="I471" s="454"/>
      <c r="J471" s="454"/>
      <c r="K471" s="454"/>
      <c r="L471" s="454"/>
      <c r="M471" s="454"/>
    </row>
    <row r="472" spans="1:16" ht="12.75" customHeight="1" x14ac:dyDescent="0.2">
      <c r="A472" s="6"/>
      <c r="B472" s="436" t="s">
        <v>372</v>
      </c>
      <c r="C472" s="456"/>
      <c r="D472" s="456"/>
      <c r="E472" s="435"/>
      <c r="F472" s="25">
        <f ca="1">IF($Q$4=0,"Bloqueado",IF(E472="",0,35.63))</f>
        <v>0</v>
      </c>
      <c r="G472" s="454"/>
      <c r="H472" s="454"/>
      <c r="I472" s="454"/>
      <c r="J472" s="454"/>
      <c r="K472" s="454"/>
      <c r="L472" s="454"/>
      <c r="M472" s="454"/>
    </row>
    <row r="473" spans="1:16" ht="10.5" customHeight="1" x14ac:dyDescent="0.2">
      <c r="A473" s="6"/>
      <c r="B473" s="24"/>
      <c r="C473" s="456"/>
      <c r="D473" s="456"/>
      <c r="E473" s="7"/>
      <c r="F473" s="19">
        <f ca="1">ROUNDDOWN(F471*0.02,2)+ROUNDDOWN(F472*0.02,2)</f>
        <v>0</v>
      </c>
      <c r="G473" s="454"/>
      <c r="H473" s="454"/>
      <c r="I473" s="454"/>
      <c r="J473" s="454"/>
      <c r="K473" s="454"/>
      <c r="L473" s="454"/>
      <c r="M473" s="454"/>
    </row>
    <row r="474" spans="1:16" x14ac:dyDescent="0.2">
      <c r="A474" s="6"/>
      <c r="B474" s="152"/>
      <c r="C474" s="324"/>
      <c r="D474" s="324"/>
      <c r="E474" s="7"/>
      <c r="F474" s="56"/>
      <c r="G474" s="454"/>
      <c r="H474" s="454"/>
      <c r="I474" s="454"/>
      <c r="J474" s="454"/>
      <c r="K474" s="454"/>
      <c r="L474" s="454"/>
      <c r="M474" s="454"/>
    </row>
    <row r="475" spans="1:16" x14ac:dyDescent="0.2">
      <c r="A475" s="6"/>
      <c r="B475" s="24" t="s">
        <v>235</v>
      </c>
      <c r="C475" s="456"/>
      <c r="D475" s="456"/>
      <c r="E475" s="20"/>
      <c r="F475" s="25"/>
      <c r="G475" s="454"/>
      <c r="H475" s="454"/>
      <c r="I475" s="454"/>
      <c r="J475" s="454"/>
      <c r="K475" s="454"/>
      <c r="L475" s="454"/>
      <c r="M475" s="454"/>
    </row>
    <row r="476" spans="1:16" x14ac:dyDescent="0.2">
      <c r="A476" s="6"/>
      <c r="B476" s="24"/>
      <c r="C476" s="456"/>
      <c r="D476" s="456"/>
      <c r="E476" s="461"/>
      <c r="F476" s="56"/>
      <c r="G476" s="514"/>
      <c r="H476" s="514"/>
      <c r="I476" s="514"/>
      <c r="J476" s="514"/>
      <c r="K476" s="514"/>
      <c r="L476" s="514"/>
      <c r="M476" s="452"/>
      <c r="P476" s="1"/>
    </row>
    <row r="477" spans="1:16" ht="12" customHeight="1" thickBot="1" x14ac:dyDescent="0.25">
      <c r="A477" s="6"/>
      <c r="B477" s="73" t="s">
        <v>91</v>
      </c>
      <c r="C477" s="294"/>
      <c r="D477" s="294"/>
      <c r="E477" s="480"/>
      <c r="F477" s="60">
        <f ca="1">F467+F468+F471+F472+P460</f>
        <v>0</v>
      </c>
      <c r="G477" s="452"/>
      <c r="H477" s="452"/>
      <c r="I477" s="452"/>
      <c r="J477" s="452"/>
      <c r="K477" s="452"/>
      <c r="L477" s="452"/>
      <c r="M477" s="452"/>
    </row>
    <row r="478" spans="1:16" ht="13.5" thickBot="1" x14ac:dyDescent="0.25">
      <c r="A478" s="6"/>
      <c r="B478" s="6"/>
      <c r="C478" s="6"/>
      <c r="D478" s="6"/>
      <c r="E478" s="456"/>
      <c r="F478" s="7"/>
      <c r="G478" s="452"/>
      <c r="H478" s="452"/>
      <c r="I478" s="452"/>
      <c r="J478" s="452"/>
      <c r="K478" s="452"/>
      <c r="L478" s="452"/>
      <c r="M478" s="452"/>
    </row>
    <row r="479" spans="1:16" ht="12.75" customHeight="1" thickBot="1" x14ac:dyDescent="0.25">
      <c r="A479" s="6"/>
      <c r="B479" s="145" t="s">
        <v>236</v>
      </c>
      <c r="C479" s="448"/>
      <c r="D479" s="448"/>
      <c r="E479" s="7"/>
      <c r="F479" s="44"/>
      <c r="G479" s="454"/>
      <c r="H479" s="454"/>
      <c r="I479" s="454"/>
      <c r="J479" s="454"/>
      <c r="K479" s="454"/>
      <c r="L479" s="454"/>
      <c r="M479" s="454"/>
    </row>
    <row r="480" spans="1:16" ht="12.75" customHeight="1" thickBot="1" x14ac:dyDescent="0.25">
      <c r="A480" s="6"/>
      <c r="B480" s="107" t="s">
        <v>226</v>
      </c>
      <c r="C480" s="297"/>
      <c r="D480" s="297"/>
      <c r="E480" s="7"/>
      <c r="F480" s="7"/>
      <c r="G480" s="454"/>
      <c r="H480" s="454"/>
      <c r="I480" s="454"/>
      <c r="J480" s="454"/>
      <c r="K480" s="454"/>
      <c r="L480" s="454"/>
      <c r="M480" s="454"/>
      <c r="P480" s="1"/>
    </row>
    <row r="481" spans="1:16" ht="15" customHeight="1" x14ac:dyDescent="0.2">
      <c r="A481" s="6"/>
      <c r="B481" s="146" t="s">
        <v>227</v>
      </c>
      <c r="C481" s="322"/>
      <c r="D481" s="322"/>
      <c r="E481" s="147"/>
      <c r="F481" s="148"/>
      <c r="G481" s="454"/>
      <c r="H481" s="454"/>
      <c r="I481" s="454"/>
      <c r="J481" s="454"/>
      <c r="K481" s="454"/>
      <c r="L481" s="454"/>
      <c r="M481" s="454"/>
    </row>
    <row r="482" spans="1:16" ht="12.75" customHeight="1" x14ac:dyDescent="0.2">
      <c r="A482" s="6"/>
      <c r="B482" s="29"/>
      <c r="C482" s="451"/>
      <c r="D482" s="451"/>
      <c r="E482" s="7"/>
      <c r="F482" s="56"/>
      <c r="G482" s="454"/>
      <c r="H482" s="454"/>
      <c r="I482" s="454"/>
      <c r="J482" s="454"/>
      <c r="K482" s="454"/>
      <c r="L482" s="454"/>
      <c r="M482" s="454"/>
    </row>
    <row r="483" spans="1:16" ht="10.5" customHeight="1" x14ac:dyDescent="0.2">
      <c r="A483" s="6"/>
      <c r="B483" s="29" t="s">
        <v>228</v>
      </c>
      <c r="C483" s="451"/>
      <c r="D483" s="451"/>
      <c r="E483" s="20"/>
      <c r="F483" s="56"/>
      <c r="G483" s="454"/>
      <c r="H483" s="454"/>
      <c r="I483" s="454"/>
      <c r="J483" s="454"/>
      <c r="K483" s="454"/>
      <c r="L483" s="454"/>
      <c r="M483" s="454"/>
    </row>
    <row r="484" spans="1:16" ht="12.75" customHeight="1" x14ac:dyDescent="0.2">
      <c r="A484" s="6"/>
      <c r="B484" s="29"/>
      <c r="C484" s="451"/>
      <c r="D484" s="451"/>
      <c r="E484" s="65"/>
      <c r="F484" s="56"/>
      <c r="G484" s="454"/>
      <c r="H484" s="454"/>
      <c r="I484" s="454"/>
      <c r="J484" s="454"/>
      <c r="K484" s="454"/>
      <c r="L484" s="454"/>
      <c r="M484" s="454"/>
      <c r="O484" s="5">
        <f>IF(E499&lt;2,0,E499-2)</f>
        <v>0</v>
      </c>
      <c r="P484" s="4">
        <f>O484*0.87</f>
        <v>0</v>
      </c>
    </row>
    <row r="485" spans="1:16" ht="12.75" customHeight="1" x14ac:dyDescent="0.2">
      <c r="A485" s="6"/>
      <c r="B485" s="29" t="s">
        <v>229</v>
      </c>
      <c r="C485" s="451"/>
      <c r="D485" s="451"/>
      <c r="E485" s="20"/>
      <c r="F485" s="56"/>
      <c r="G485" s="454"/>
      <c r="H485" s="454"/>
      <c r="I485" s="454"/>
      <c r="J485" s="454"/>
      <c r="K485" s="454"/>
      <c r="L485" s="454"/>
      <c r="M485" s="454"/>
    </row>
    <row r="486" spans="1:16" ht="12" customHeight="1" x14ac:dyDescent="0.2">
      <c r="A486" s="6"/>
      <c r="B486" s="29"/>
      <c r="C486" s="451"/>
      <c r="D486" s="451"/>
      <c r="E486" s="65"/>
      <c r="F486" s="56"/>
      <c r="G486" s="454"/>
      <c r="H486" s="454"/>
      <c r="I486" s="454"/>
      <c r="J486" s="454"/>
      <c r="K486" s="454"/>
      <c r="L486" s="454"/>
      <c r="M486" s="454"/>
    </row>
    <row r="487" spans="1:16" x14ac:dyDescent="0.2">
      <c r="A487" s="6"/>
      <c r="B487" s="29" t="s">
        <v>230</v>
      </c>
      <c r="C487" s="451"/>
      <c r="D487" s="451"/>
      <c r="E487" s="71"/>
      <c r="F487" s="56"/>
      <c r="G487" s="454"/>
      <c r="H487" s="454"/>
      <c r="I487" s="454"/>
      <c r="J487" s="454"/>
      <c r="K487" s="454"/>
      <c r="L487" s="454"/>
      <c r="M487" s="454"/>
    </row>
    <row r="488" spans="1:16" x14ac:dyDescent="0.2">
      <c r="A488" s="6"/>
      <c r="B488" s="29"/>
      <c r="C488" s="451"/>
      <c r="D488" s="451"/>
      <c r="E488" s="65"/>
      <c r="F488" s="56"/>
      <c r="G488" s="454"/>
      <c r="H488" s="454"/>
      <c r="I488" s="454"/>
      <c r="J488" s="454"/>
      <c r="K488" s="454"/>
      <c r="L488" s="454"/>
      <c r="M488" s="454"/>
    </row>
    <row r="489" spans="1:16" ht="13.5" thickBot="1" x14ac:dyDescent="0.25">
      <c r="A489" s="6"/>
      <c r="B489" s="73" t="s">
        <v>231</v>
      </c>
      <c r="C489" s="294"/>
      <c r="D489" s="294"/>
      <c r="E489" s="149"/>
      <c r="F489" s="150"/>
      <c r="G489" s="454"/>
      <c r="H489" s="454"/>
      <c r="I489" s="454"/>
      <c r="J489" s="454"/>
      <c r="K489" s="454"/>
      <c r="L489" s="454"/>
      <c r="M489" s="454"/>
    </row>
    <row r="490" spans="1:16" ht="13.5" thickBot="1" x14ac:dyDescent="0.25">
      <c r="A490" s="6"/>
      <c r="B490" s="128" t="s">
        <v>232</v>
      </c>
      <c r="C490" s="306"/>
      <c r="D490" s="306"/>
      <c r="E490" s="7"/>
      <c r="F490" s="7"/>
      <c r="G490" s="512" t="str">
        <f>IF((O490+O492+O494+O498)=0,"Falta escolher a conta do Distribuidor",IF((O490+O492+O494+O498)=1,"","Escolher somente uma Conta de Distribuidor"))</f>
        <v>Falta escolher a conta do Distribuidor</v>
      </c>
      <c r="H490" s="512"/>
      <c r="I490" s="512"/>
      <c r="J490" s="512"/>
      <c r="K490" s="512"/>
      <c r="L490" s="512"/>
      <c r="M490" s="452"/>
      <c r="O490" s="5">
        <f>IF(E505="",0,1)</f>
        <v>0</v>
      </c>
      <c r="P490" s="4">
        <f>COUNTA(E505:E513)</f>
        <v>0</v>
      </c>
    </row>
    <row r="491" spans="1:16" ht="11.25" customHeight="1" thickBot="1" x14ac:dyDescent="0.25">
      <c r="A491" s="6"/>
      <c r="B491" s="77" t="s">
        <v>233</v>
      </c>
      <c r="C491" s="323"/>
      <c r="D491" s="323"/>
      <c r="E491" s="67"/>
      <c r="F491" s="52">
        <f ca="1">IF($Q$4=0,"Bloqueado",IF(E491="",0,69.24))</f>
        <v>0</v>
      </c>
      <c r="G491" s="454"/>
      <c r="H491" s="454"/>
      <c r="I491" s="454"/>
      <c r="J491" s="454"/>
      <c r="K491" s="454"/>
      <c r="L491" s="454"/>
      <c r="M491" s="454"/>
    </row>
    <row r="492" spans="1:16" x14ac:dyDescent="0.2">
      <c r="A492" s="6"/>
      <c r="B492" s="436" t="s">
        <v>371</v>
      </c>
      <c r="C492" s="456"/>
      <c r="D492" s="456"/>
      <c r="E492" s="434"/>
      <c r="F492" s="52">
        <f ca="1">IF($Q$4=0,"Bloqueado",IF(E492="",0,35.63))</f>
        <v>0</v>
      </c>
      <c r="G492" s="454"/>
      <c r="H492" s="454"/>
      <c r="I492" s="454"/>
      <c r="J492" s="454"/>
      <c r="K492" s="454"/>
      <c r="L492" s="454"/>
      <c r="M492" s="454"/>
      <c r="O492" s="5">
        <f>IF(E507="",0,1)</f>
        <v>0</v>
      </c>
    </row>
    <row r="493" spans="1:16" ht="10.5" customHeight="1" x14ac:dyDescent="0.2">
      <c r="A493" s="6"/>
      <c r="B493" s="24"/>
      <c r="C493" s="456"/>
      <c r="D493" s="456"/>
      <c r="E493" s="65"/>
      <c r="F493" s="19">
        <f ca="1">ROUNDDOWN(F491*0.02,2)+ROUNDDOWN(F492*0.02,2)</f>
        <v>0</v>
      </c>
      <c r="G493" s="454"/>
      <c r="H493" s="454"/>
      <c r="I493" s="454"/>
      <c r="J493" s="454"/>
      <c r="K493" s="454"/>
      <c r="L493" s="454"/>
      <c r="M493" s="454"/>
    </row>
    <row r="494" spans="1:16" x14ac:dyDescent="0.2">
      <c r="A494" s="6"/>
      <c r="B494" s="22"/>
      <c r="C494" s="131"/>
      <c r="D494" s="131"/>
      <c r="E494" s="7"/>
      <c r="F494" s="56"/>
      <c r="G494" s="454"/>
      <c r="H494" s="454"/>
      <c r="I494" s="454"/>
      <c r="J494" s="454"/>
      <c r="K494" s="454"/>
      <c r="L494" s="454"/>
      <c r="M494" s="454"/>
      <c r="O494" s="5">
        <f>IF(E509="",0,1)</f>
        <v>0</v>
      </c>
    </row>
    <row r="495" spans="1:16" ht="11.25" customHeight="1" x14ac:dyDescent="0.2">
      <c r="A495" s="6"/>
      <c r="B495" s="30" t="s">
        <v>234</v>
      </c>
      <c r="C495" s="456"/>
      <c r="D495" s="456"/>
      <c r="E495" s="20"/>
      <c r="F495" s="25">
        <f ca="1">IF($Q$4=0,"Bloqueado",IF(E495="",0,34.62))</f>
        <v>0</v>
      </c>
      <c r="G495" s="454"/>
      <c r="H495" s="454"/>
      <c r="I495" s="454"/>
      <c r="J495" s="454"/>
      <c r="K495" s="454"/>
      <c r="L495" s="454"/>
      <c r="M495" s="454"/>
    </row>
    <row r="496" spans="1:16" ht="12.75" customHeight="1" x14ac:dyDescent="0.2">
      <c r="A496" s="6"/>
      <c r="B496" s="436" t="s">
        <v>372</v>
      </c>
      <c r="C496" s="456"/>
      <c r="D496" s="456"/>
      <c r="E496" s="435"/>
      <c r="F496" s="25">
        <f ca="1">IF($Q$4=0,"Bloqueado",IF(E496="",0,19.26))</f>
        <v>0</v>
      </c>
      <c r="G496" s="454"/>
      <c r="H496" s="454"/>
      <c r="I496" s="454"/>
      <c r="J496" s="454"/>
      <c r="K496" s="454"/>
      <c r="L496" s="454"/>
      <c r="M496" s="454"/>
    </row>
    <row r="497" spans="1:16" ht="11.25" customHeight="1" x14ac:dyDescent="0.2">
      <c r="A497" s="6"/>
      <c r="B497" s="24"/>
      <c r="C497" s="456"/>
      <c r="D497" s="456"/>
      <c r="E497" s="7"/>
      <c r="F497" s="19">
        <f ca="1">ROUNDDOWN(F495*0.02,2)+ROUNDDOWN(F496*0.02,2)</f>
        <v>0</v>
      </c>
      <c r="G497" s="454"/>
      <c r="H497" s="454"/>
      <c r="I497" s="454"/>
      <c r="J497" s="454"/>
      <c r="K497" s="454"/>
      <c r="L497" s="454"/>
      <c r="M497" s="454"/>
    </row>
    <row r="498" spans="1:16" x14ac:dyDescent="0.2">
      <c r="A498" s="6"/>
      <c r="B498" s="152"/>
      <c r="C498" s="324"/>
      <c r="D498" s="324"/>
      <c r="E498" s="7"/>
      <c r="F498" s="56"/>
      <c r="G498" s="454"/>
      <c r="H498" s="454"/>
      <c r="I498" s="454"/>
      <c r="J498" s="454"/>
      <c r="K498" s="454"/>
      <c r="L498" s="454"/>
      <c r="M498" s="454"/>
    </row>
    <row r="499" spans="1:16" x14ac:dyDescent="0.2">
      <c r="A499" s="6"/>
      <c r="B499" s="24" t="s">
        <v>235</v>
      </c>
      <c r="C499" s="456"/>
      <c r="D499" s="456"/>
      <c r="E499" s="20"/>
      <c r="F499" s="25"/>
      <c r="G499" s="454"/>
      <c r="H499" s="454"/>
      <c r="I499" s="454"/>
      <c r="J499" s="454"/>
      <c r="K499" s="454"/>
      <c r="L499" s="454"/>
      <c r="M499" s="454"/>
    </row>
    <row r="500" spans="1:16" x14ac:dyDescent="0.2">
      <c r="A500" s="6"/>
      <c r="B500" s="24"/>
      <c r="C500" s="456"/>
      <c r="D500" s="456"/>
      <c r="E500" s="461"/>
      <c r="F500" s="56"/>
      <c r="G500" s="514"/>
      <c r="H500" s="514"/>
      <c r="I500" s="514"/>
      <c r="J500" s="514"/>
      <c r="K500" s="514"/>
      <c r="L500" s="514"/>
      <c r="M500" s="452"/>
      <c r="P500" s="1"/>
    </row>
    <row r="501" spans="1:16" ht="14.25" customHeight="1" thickBot="1" x14ac:dyDescent="0.25">
      <c r="A501" s="6"/>
      <c r="B501" s="73" t="s">
        <v>91</v>
      </c>
      <c r="C501" s="294"/>
      <c r="D501" s="294"/>
      <c r="E501" s="480"/>
      <c r="F501" s="60">
        <f ca="1">F491+F492+F495+F496+P484</f>
        <v>0</v>
      </c>
      <c r="G501" s="452"/>
      <c r="H501" s="452"/>
      <c r="I501" s="452"/>
      <c r="J501" s="452"/>
      <c r="K501" s="452"/>
      <c r="L501" s="452"/>
      <c r="M501" s="452"/>
    </row>
    <row r="502" spans="1:16" ht="13.5" thickBot="1" x14ac:dyDescent="0.25">
      <c r="A502" s="6"/>
      <c r="B502" s="6"/>
      <c r="C502" s="6"/>
      <c r="D502" s="6"/>
      <c r="E502" s="456"/>
      <c r="F502" s="7"/>
      <c r="G502" s="452"/>
      <c r="H502" s="452"/>
      <c r="I502" s="452"/>
      <c r="J502" s="452"/>
      <c r="K502" s="452"/>
      <c r="L502" s="452"/>
      <c r="M502" s="452"/>
    </row>
    <row r="503" spans="1:16" ht="12" customHeight="1" thickBot="1" x14ac:dyDescent="0.25">
      <c r="A503" s="6"/>
      <c r="B503" s="145" t="s">
        <v>236</v>
      </c>
      <c r="C503" s="448"/>
      <c r="D503" s="448"/>
      <c r="E503" s="7"/>
      <c r="F503" s="44"/>
      <c r="G503" s="454"/>
      <c r="H503" s="454"/>
      <c r="I503" s="454"/>
      <c r="J503" s="454"/>
      <c r="K503" s="454"/>
      <c r="L503" s="454"/>
      <c r="M503" s="454"/>
    </row>
    <row r="504" spans="1:16" ht="13.5" thickBot="1" x14ac:dyDescent="0.25">
      <c r="A504" s="6"/>
      <c r="B504" s="107" t="s">
        <v>226</v>
      </c>
      <c r="C504" s="297"/>
      <c r="D504" s="297"/>
      <c r="E504" s="7"/>
      <c r="F504" s="7"/>
      <c r="G504" s="454"/>
      <c r="H504" s="454"/>
      <c r="I504" s="454"/>
      <c r="J504" s="454"/>
      <c r="K504" s="454"/>
      <c r="L504" s="454"/>
      <c r="M504" s="454"/>
      <c r="P504" s="1"/>
    </row>
    <row r="505" spans="1:16" ht="13.5" customHeight="1" x14ac:dyDescent="0.2">
      <c r="A505" s="6"/>
      <c r="B505" s="146" t="s">
        <v>227</v>
      </c>
      <c r="C505" s="322"/>
      <c r="D505" s="322"/>
      <c r="E505" s="147"/>
      <c r="F505" s="148"/>
      <c r="G505" s="454"/>
      <c r="H505" s="454"/>
      <c r="I505" s="454"/>
      <c r="J505" s="454"/>
      <c r="K505" s="454"/>
      <c r="L505" s="454"/>
      <c r="M505" s="454"/>
    </row>
    <row r="506" spans="1:16" x14ac:dyDescent="0.2">
      <c r="A506" s="6"/>
      <c r="B506" s="29"/>
      <c r="C506" s="451"/>
      <c r="D506" s="451"/>
      <c r="E506" s="7"/>
      <c r="F506" s="56"/>
      <c r="G506" s="454"/>
      <c r="H506" s="454"/>
      <c r="I506" s="454"/>
      <c r="J506" s="454"/>
      <c r="K506" s="454"/>
      <c r="L506" s="454"/>
      <c r="M506" s="454"/>
    </row>
    <row r="507" spans="1:16" ht="16.5" customHeight="1" x14ac:dyDescent="0.2">
      <c r="A507" s="6"/>
      <c r="B507" s="29" t="s">
        <v>228</v>
      </c>
      <c r="C507" s="451"/>
      <c r="D507" s="451"/>
      <c r="E507" s="20"/>
      <c r="F507" s="56"/>
      <c r="G507" s="454"/>
      <c r="H507" s="454"/>
      <c r="I507" s="454"/>
      <c r="J507" s="454"/>
      <c r="K507" s="454"/>
      <c r="L507" s="454"/>
      <c r="M507" s="454"/>
    </row>
    <row r="508" spans="1:16" x14ac:dyDescent="0.2">
      <c r="A508" s="6"/>
      <c r="B508" s="29"/>
      <c r="C508" s="451"/>
      <c r="D508" s="451"/>
      <c r="E508" s="65"/>
      <c r="F508" s="56"/>
      <c r="G508" s="454"/>
      <c r="H508" s="454"/>
      <c r="I508" s="454"/>
      <c r="J508" s="454"/>
      <c r="K508" s="454"/>
      <c r="L508" s="454"/>
      <c r="M508" s="454"/>
      <c r="O508" s="5">
        <f>IF(E523&lt;2,0,E523-2)</f>
        <v>0</v>
      </c>
      <c r="P508" s="4">
        <f>O508*0.87</f>
        <v>0</v>
      </c>
    </row>
    <row r="509" spans="1:16" ht="16.5" customHeight="1" x14ac:dyDescent="0.2">
      <c r="A509" s="6"/>
      <c r="B509" s="29" t="s">
        <v>229</v>
      </c>
      <c r="C509" s="451"/>
      <c r="D509" s="451"/>
      <c r="E509" s="20"/>
      <c r="F509" s="56"/>
      <c r="G509" s="454"/>
      <c r="H509" s="454"/>
      <c r="I509" s="454"/>
      <c r="J509" s="454"/>
      <c r="K509" s="454"/>
      <c r="L509" s="454"/>
      <c r="M509" s="454"/>
    </row>
    <row r="510" spans="1:16" ht="9.75" customHeight="1" x14ac:dyDescent="0.2">
      <c r="A510" s="6"/>
      <c r="B510" s="29"/>
      <c r="C510" s="451"/>
      <c r="D510" s="451"/>
      <c r="E510" s="65"/>
      <c r="F510" s="56"/>
      <c r="G510" s="454"/>
      <c r="H510" s="454"/>
      <c r="I510" s="454"/>
      <c r="J510" s="454"/>
      <c r="K510" s="454"/>
      <c r="L510" s="454"/>
      <c r="M510" s="454"/>
    </row>
    <row r="511" spans="1:16" x14ac:dyDescent="0.2">
      <c r="A511" s="6"/>
      <c r="B511" s="29" t="s">
        <v>230</v>
      </c>
      <c r="C511" s="451"/>
      <c r="D511" s="451"/>
      <c r="E511" s="71"/>
      <c r="F511" s="56"/>
      <c r="G511" s="454"/>
      <c r="H511" s="454"/>
      <c r="I511" s="454"/>
      <c r="J511" s="454"/>
      <c r="K511" s="454"/>
      <c r="L511" s="454"/>
      <c r="M511" s="454"/>
    </row>
    <row r="512" spans="1:16" x14ac:dyDescent="0.2">
      <c r="A512" s="6"/>
      <c r="B512" s="29"/>
      <c r="C512" s="451"/>
      <c r="D512" s="451"/>
      <c r="E512" s="65"/>
      <c r="F512" s="56"/>
      <c r="G512" s="454"/>
      <c r="H512" s="454"/>
      <c r="I512" s="454"/>
      <c r="J512" s="454"/>
      <c r="K512" s="454"/>
      <c r="L512" s="454"/>
      <c r="M512" s="454"/>
    </row>
    <row r="513" spans="1:16" ht="13.5" thickBot="1" x14ac:dyDescent="0.25">
      <c r="A513" s="6"/>
      <c r="B513" s="73" t="s">
        <v>231</v>
      </c>
      <c r="C513" s="294"/>
      <c r="D513" s="294"/>
      <c r="E513" s="149"/>
      <c r="F513" s="150"/>
      <c r="G513" s="454"/>
      <c r="H513" s="454"/>
      <c r="I513" s="454"/>
      <c r="J513" s="454"/>
      <c r="K513" s="454"/>
      <c r="L513" s="454"/>
      <c r="M513" s="454"/>
    </row>
    <row r="514" spans="1:16" ht="13.5" thickBot="1" x14ac:dyDescent="0.25">
      <c r="A514" s="6"/>
      <c r="B514" s="128" t="s">
        <v>232</v>
      </c>
      <c r="C514" s="306"/>
      <c r="D514" s="306"/>
      <c r="E514" s="7"/>
      <c r="F514" s="7"/>
      <c r="G514" s="512" t="str">
        <f>IF((O514+O516+O518+O522)=0,"Falta escolher a conta do Distribuidor",IF((O514+O516+O518+O522)=1,"","Escolher somente uma Conta de Distribuidor"))</f>
        <v>Falta escolher a conta do Distribuidor</v>
      </c>
      <c r="H514" s="512"/>
      <c r="I514" s="512"/>
      <c r="J514" s="512"/>
      <c r="K514" s="512"/>
      <c r="L514" s="512"/>
      <c r="M514" s="452"/>
      <c r="O514" s="5">
        <f>IF(E529="",0,1)</f>
        <v>0</v>
      </c>
      <c r="P514" s="4">
        <f>COUNTA(E529:E537)</f>
        <v>0</v>
      </c>
    </row>
    <row r="515" spans="1:16" ht="12.75" customHeight="1" thickBot="1" x14ac:dyDescent="0.25">
      <c r="A515" s="6"/>
      <c r="B515" s="77" t="s">
        <v>233</v>
      </c>
      <c r="C515" s="323"/>
      <c r="D515" s="323"/>
      <c r="E515" s="67"/>
      <c r="F515" s="52">
        <f ca="1">IF($Q$4=0,"Bloqueado",IF(E515="",0,69.24))</f>
        <v>0</v>
      </c>
      <c r="G515" s="454"/>
      <c r="H515" s="454"/>
      <c r="I515" s="454"/>
      <c r="J515" s="454"/>
      <c r="K515" s="454"/>
      <c r="L515" s="454"/>
      <c r="M515" s="454"/>
    </row>
    <row r="516" spans="1:16" x14ac:dyDescent="0.2">
      <c r="A516" s="6"/>
      <c r="B516" s="436" t="s">
        <v>371</v>
      </c>
      <c r="C516" s="456"/>
      <c r="D516" s="456"/>
      <c r="E516" s="434"/>
      <c r="F516" s="52">
        <f ca="1">IF($Q$4=0,"Bloqueado",IF(E516="",0,19.26))</f>
        <v>0</v>
      </c>
      <c r="G516" s="454"/>
      <c r="H516" s="454"/>
      <c r="I516" s="454"/>
      <c r="J516" s="454"/>
      <c r="K516" s="454"/>
      <c r="L516" s="454"/>
      <c r="M516" s="454"/>
      <c r="O516" s="5">
        <f>IF(E531="",0,1)</f>
        <v>0</v>
      </c>
    </row>
    <row r="517" spans="1:16" ht="12.75" customHeight="1" x14ac:dyDescent="0.2">
      <c r="A517" s="6"/>
      <c r="B517" s="24"/>
      <c r="C517" s="456"/>
      <c r="D517" s="456"/>
      <c r="E517" s="65"/>
      <c r="F517" s="19">
        <f ca="1">ROUNDDOWN(F515*0.02,2)+ROUNDDOWN(F516*0.02,2)</f>
        <v>0</v>
      </c>
      <c r="G517" s="454"/>
      <c r="H517" s="454"/>
      <c r="I517" s="454"/>
      <c r="J517" s="454"/>
      <c r="K517" s="454"/>
      <c r="L517" s="454"/>
      <c r="M517" s="454"/>
    </row>
    <row r="518" spans="1:16" x14ac:dyDescent="0.2">
      <c r="A518" s="6"/>
      <c r="B518" s="22"/>
      <c r="C518" s="131"/>
      <c r="D518" s="131"/>
      <c r="E518" s="7"/>
      <c r="F518" s="56"/>
      <c r="G518" s="454"/>
      <c r="H518" s="454"/>
      <c r="I518" s="454"/>
      <c r="J518" s="454"/>
      <c r="K518" s="454"/>
      <c r="L518" s="454"/>
      <c r="M518" s="454"/>
      <c r="O518" s="5">
        <f>IF(E533="",0,1)</f>
        <v>0</v>
      </c>
    </row>
    <row r="519" spans="1:16" ht="10.5" customHeight="1" x14ac:dyDescent="0.2">
      <c r="A519" s="6"/>
      <c r="B519" s="30" t="s">
        <v>234</v>
      </c>
      <c r="C519" s="456"/>
      <c r="D519" s="456"/>
      <c r="E519" s="20"/>
      <c r="F519" s="25">
        <f ca="1">IF($Q$4=0,"Bloqueado",IF(E519="",0,34.62))</f>
        <v>0</v>
      </c>
      <c r="G519" s="454"/>
      <c r="H519" s="454"/>
      <c r="I519" s="454"/>
      <c r="J519" s="454"/>
      <c r="K519" s="454"/>
      <c r="L519" s="454"/>
      <c r="M519" s="454"/>
    </row>
    <row r="520" spans="1:16" ht="12.75" customHeight="1" x14ac:dyDescent="0.2">
      <c r="A520" s="6"/>
      <c r="B520" s="436" t="s">
        <v>372</v>
      </c>
      <c r="C520" s="456"/>
      <c r="D520" s="456"/>
      <c r="E520" s="435"/>
      <c r="F520" s="25">
        <f ca="1">IF($Q$4=0,"Bloqueado",IF(E520="",0,19.26))</f>
        <v>0</v>
      </c>
      <c r="G520" s="454"/>
      <c r="H520" s="454"/>
      <c r="I520" s="454"/>
      <c r="J520" s="454"/>
      <c r="K520" s="454"/>
      <c r="L520" s="454"/>
      <c r="M520" s="454"/>
    </row>
    <row r="521" spans="1:16" ht="15.75" customHeight="1" x14ac:dyDescent="0.2">
      <c r="A521" s="6"/>
      <c r="B521" s="24"/>
      <c r="C521" s="456"/>
      <c r="D521" s="456"/>
      <c r="E521" s="7"/>
      <c r="F521" s="19">
        <f ca="1">ROUNDDOWN(F519*0.02,2)+ROUNDDOWN(F520*0.02,2)</f>
        <v>0</v>
      </c>
      <c r="G521" s="454"/>
      <c r="H521" s="454"/>
      <c r="I521" s="454"/>
      <c r="J521" s="454"/>
      <c r="K521" s="454"/>
      <c r="L521" s="454"/>
      <c r="M521" s="454"/>
    </row>
    <row r="522" spans="1:16" x14ac:dyDescent="0.2">
      <c r="A522" s="6"/>
      <c r="B522" s="152"/>
      <c r="C522" s="324"/>
      <c r="D522" s="324"/>
      <c r="E522" s="7"/>
      <c r="F522" s="56"/>
      <c r="G522" s="454"/>
      <c r="H522" s="454"/>
      <c r="I522" s="454"/>
      <c r="J522" s="454"/>
      <c r="K522" s="454"/>
      <c r="L522" s="454"/>
      <c r="M522" s="454"/>
    </row>
    <row r="523" spans="1:16" x14ac:dyDescent="0.2">
      <c r="A523" s="6"/>
      <c r="B523" s="24" t="s">
        <v>235</v>
      </c>
      <c r="C523" s="456"/>
      <c r="D523" s="456"/>
      <c r="E523" s="20"/>
      <c r="F523" s="25"/>
      <c r="G523" s="454"/>
      <c r="H523" s="454"/>
      <c r="I523" s="454"/>
      <c r="J523" s="454"/>
      <c r="K523" s="454"/>
      <c r="L523" s="454"/>
      <c r="M523" s="454"/>
    </row>
    <row r="524" spans="1:16" x14ac:dyDescent="0.2">
      <c r="A524" s="6"/>
      <c r="B524" s="24"/>
      <c r="C524" s="456"/>
      <c r="D524" s="456"/>
      <c r="E524" s="461"/>
      <c r="F524" s="56"/>
      <c r="G524" s="514"/>
      <c r="H524" s="514"/>
      <c r="I524" s="514"/>
      <c r="J524" s="514"/>
      <c r="K524" s="514"/>
      <c r="L524" s="514"/>
      <c r="M524" s="452"/>
      <c r="P524" s="1"/>
    </row>
    <row r="525" spans="1:16" ht="13.5" customHeight="1" thickBot="1" x14ac:dyDescent="0.25">
      <c r="A525" s="6"/>
      <c r="B525" s="73" t="s">
        <v>91</v>
      </c>
      <c r="C525" s="294"/>
      <c r="D525" s="294"/>
      <c r="E525" s="480"/>
      <c r="F525" s="60">
        <f ca="1">F515+F516+F519+F520+P508</f>
        <v>0</v>
      </c>
      <c r="G525" s="452"/>
      <c r="H525" s="452"/>
      <c r="I525" s="452"/>
      <c r="J525" s="452"/>
      <c r="K525" s="452"/>
      <c r="L525" s="452"/>
      <c r="M525" s="452"/>
    </row>
    <row r="526" spans="1:16" ht="13.5" thickBot="1" x14ac:dyDescent="0.25">
      <c r="A526" s="6"/>
      <c r="B526" s="6"/>
      <c r="C526" s="6"/>
      <c r="D526" s="6"/>
      <c r="E526" s="456"/>
      <c r="F526" s="7"/>
      <c r="G526" s="452"/>
      <c r="H526" s="452"/>
      <c r="I526" s="452"/>
      <c r="J526" s="452"/>
      <c r="K526" s="452"/>
      <c r="L526" s="452"/>
      <c r="M526" s="452"/>
    </row>
    <row r="527" spans="1:16" ht="11.25" customHeight="1" thickBot="1" x14ac:dyDescent="0.25">
      <c r="A527" s="6"/>
      <c r="B527" s="145" t="s">
        <v>236</v>
      </c>
      <c r="C527" s="448"/>
      <c r="D527" s="448"/>
      <c r="E527" s="7"/>
      <c r="F527" s="44"/>
      <c r="G527" s="454"/>
      <c r="H527" s="454"/>
      <c r="I527" s="454"/>
      <c r="J527" s="454"/>
      <c r="K527" s="454"/>
      <c r="L527" s="454"/>
      <c r="M527" s="454"/>
    </row>
    <row r="528" spans="1:16" ht="13.5" thickBot="1" x14ac:dyDescent="0.25">
      <c r="A528" s="6"/>
      <c r="B528" s="107" t="s">
        <v>226</v>
      </c>
      <c r="C528" s="297"/>
      <c r="D528" s="297"/>
      <c r="E528" s="7"/>
      <c r="F528" s="7"/>
      <c r="G528" s="454"/>
      <c r="H528" s="454"/>
      <c r="I528" s="454"/>
      <c r="J528" s="454"/>
      <c r="K528" s="454"/>
      <c r="L528" s="454"/>
      <c r="M528" s="454"/>
      <c r="P528" s="1"/>
    </row>
    <row r="529" spans="1:16" ht="13.5" customHeight="1" x14ac:dyDescent="0.2">
      <c r="A529" s="6"/>
      <c r="B529" s="146" t="s">
        <v>227</v>
      </c>
      <c r="C529" s="322"/>
      <c r="D529" s="322"/>
      <c r="E529" s="147"/>
      <c r="F529" s="148"/>
      <c r="G529" s="454"/>
      <c r="H529" s="454"/>
      <c r="I529" s="454"/>
      <c r="J529" s="454"/>
      <c r="K529" s="454"/>
      <c r="L529" s="454"/>
      <c r="M529" s="454"/>
    </row>
    <row r="530" spans="1:16" x14ac:dyDescent="0.2">
      <c r="A530" s="6"/>
      <c r="B530" s="29"/>
      <c r="C530" s="451"/>
      <c r="D530" s="451"/>
      <c r="E530" s="7"/>
      <c r="F530" s="56"/>
      <c r="G530" s="454"/>
      <c r="H530" s="454"/>
      <c r="I530" s="454"/>
      <c r="J530" s="454"/>
      <c r="K530" s="454"/>
      <c r="L530" s="454"/>
      <c r="M530" s="454"/>
    </row>
    <row r="531" spans="1:16" ht="11.25" customHeight="1" x14ac:dyDescent="0.2">
      <c r="A531" s="6"/>
      <c r="B531" s="29" t="s">
        <v>228</v>
      </c>
      <c r="C531" s="451"/>
      <c r="D531" s="451"/>
      <c r="E531" s="20"/>
      <c r="F531" s="56"/>
      <c r="G531" s="454"/>
      <c r="H531" s="454"/>
      <c r="I531" s="454"/>
      <c r="J531" s="454"/>
      <c r="K531" s="454"/>
      <c r="L531" s="454"/>
      <c r="M531" s="454"/>
    </row>
    <row r="532" spans="1:16" x14ac:dyDescent="0.2">
      <c r="A532" s="6"/>
      <c r="B532" s="29"/>
      <c r="C532" s="451"/>
      <c r="D532" s="451"/>
      <c r="E532" s="65"/>
      <c r="F532" s="56"/>
      <c r="G532" s="454"/>
      <c r="H532" s="454"/>
      <c r="I532" s="454"/>
      <c r="J532" s="454"/>
      <c r="K532" s="454"/>
      <c r="L532" s="454"/>
      <c r="M532" s="454"/>
      <c r="O532" s="5">
        <f>IF(E547&lt;2,0,E547-2)</f>
        <v>0</v>
      </c>
      <c r="P532" s="4">
        <f>O532*0.87</f>
        <v>0</v>
      </c>
    </row>
    <row r="533" spans="1:16" ht="12.75" customHeight="1" x14ac:dyDescent="0.2">
      <c r="A533" s="6"/>
      <c r="B533" s="29" t="s">
        <v>229</v>
      </c>
      <c r="C533" s="451"/>
      <c r="D533" s="451"/>
      <c r="E533" s="20"/>
      <c r="F533" s="56"/>
      <c r="G533" s="454"/>
      <c r="H533" s="454"/>
      <c r="I533" s="454"/>
      <c r="J533" s="454"/>
      <c r="K533" s="454"/>
      <c r="L533" s="454"/>
      <c r="M533" s="454"/>
    </row>
    <row r="534" spans="1:16" x14ac:dyDescent="0.2">
      <c r="A534" s="6"/>
      <c r="B534" s="29"/>
      <c r="C534" s="451"/>
      <c r="D534" s="451"/>
      <c r="E534" s="65"/>
      <c r="F534" s="56"/>
      <c r="G534" s="454"/>
      <c r="H534" s="454"/>
      <c r="I534" s="454"/>
      <c r="J534" s="454"/>
      <c r="K534" s="454"/>
      <c r="L534" s="454"/>
      <c r="M534" s="454"/>
    </row>
    <row r="535" spans="1:16" x14ac:dyDescent="0.2">
      <c r="A535" s="6"/>
      <c r="B535" s="29" t="s">
        <v>230</v>
      </c>
      <c r="C535" s="451"/>
      <c r="D535" s="451"/>
      <c r="E535" s="71"/>
      <c r="F535" s="56"/>
      <c r="G535" s="454"/>
      <c r="H535" s="454"/>
      <c r="I535" s="454"/>
      <c r="J535" s="454"/>
      <c r="K535" s="454"/>
      <c r="L535" s="454"/>
      <c r="M535" s="454"/>
    </row>
    <row r="536" spans="1:16" x14ac:dyDescent="0.2">
      <c r="A536" s="6"/>
      <c r="B536" s="29"/>
      <c r="C536" s="451"/>
      <c r="D536" s="451"/>
      <c r="E536" s="65"/>
      <c r="F536" s="56"/>
    </row>
    <row r="537" spans="1:16" ht="13.5" thickBot="1" x14ac:dyDescent="0.25">
      <c r="A537" s="6"/>
      <c r="B537" s="73" t="s">
        <v>231</v>
      </c>
      <c r="C537" s="294"/>
      <c r="D537" s="294"/>
      <c r="E537" s="149"/>
      <c r="F537" s="150"/>
    </row>
    <row r="538" spans="1:16" ht="13.5" thickBot="1" x14ac:dyDescent="0.25">
      <c r="A538" s="6"/>
      <c r="B538" s="128" t="s">
        <v>232</v>
      </c>
      <c r="C538" s="306"/>
      <c r="D538" s="306"/>
      <c r="E538" s="7"/>
      <c r="F538" s="7"/>
    </row>
    <row r="539" spans="1:16" ht="13.5" thickBot="1" x14ac:dyDescent="0.25">
      <c r="A539" s="6"/>
      <c r="B539" s="77" t="s">
        <v>233</v>
      </c>
      <c r="C539" s="323"/>
      <c r="D539" s="323"/>
      <c r="E539" s="67"/>
      <c r="F539" s="52">
        <f ca="1">IF($Q$4=0,"Bloqueado",IF(E539="",0,69.24))</f>
        <v>0</v>
      </c>
    </row>
    <row r="540" spans="1:16" x14ac:dyDescent="0.2">
      <c r="A540" s="6"/>
      <c r="B540" s="436" t="s">
        <v>371</v>
      </c>
      <c r="C540" s="456"/>
      <c r="D540" s="456"/>
      <c r="E540" s="434"/>
      <c r="F540" s="52">
        <f ca="1">IF($Q$4=0,"Bloqueado",IF(E540="",0,19.26))</f>
        <v>0</v>
      </c>
    </row>
    <row r="541" spans="1:16" x14ac:dyDescent="0.2">
      <c r="A541" s="6"/>
      <c r="B541" s="24"/>
      <c r="C541" s="456"/>
      <c r="D541" s="456"/>
      <c r="E541" s="65"/>
      <c r="F541" s="19">
        <f ca="1">ROUNDDOWN(F539*0.02,2)+ROUNDDOWN(F540*0.02,2)</f>
        <v>0</v>
      </c>
    </row>
    <row r="542" spans="1:16" x14ac:dyDescent="0.2">
      <c r="A542" s="6"/>
      <c r="B542" s="22"/>
      <c r="C542" s="131"/>
      <c r="D542" s="131"/>
      <c r="E542" s="7"/>
      <c r="F542" s="56"/>
    </row>
    <row r="543" spans="1:16" x14ac:dyDescent="0.2">
      <c r="A543" s="6"/>
      <c r="B543" s="30" t="s">
        <v>234</v>
      </c>
      <c r="C543" s="456"/>
      <c r="D543" s="456"/>
      <c r="E543" s="20"/>
      <c r="F543" s="25">
        <f ca="1">IF($Q$4=0,"Bloqueado",IF(E543="",0,34.62))</f>
        <v>0</v>
      </c>
    </row>
    <row r="544" spans="1:16" x14ac:dyDescent="0.2">
      <c r="A544" s="6"/>
      <c r="B544" s="436" t="s">
        <v>372</v>
      </c>
      <c r="C544" s="456"/>
      <c r="D544" s="456"/>
      <c r="E544" s="435"/>
      <c r="F544" s="25">
        <f ca="1">IF($Q$4=0,"Bloqueado",IF(E544="",0,19.26))</f>
        <v>0</v>
      </c>
    </row>
    <row r="545" spans="1:13" x14ac:dyDescent="0.2">
      <c r="A545" s="6"/>
      <c r="B545" s="24"/>
      <c r="C545" s="456"/>
      <c r="D545" s="456"/>
      <c r="E545" s="7"/>
      <c r="F545" s="19">
        <f ca="1">ROUNDDOWN(F543*0.02,2)+ROUNDDOWN(F544*0.02,2)</f>
        <v>0</v>
      </c>
    </row>
    <row r="546" spans="1:13" x14ac:dyDescent="0.2">
      <c r="A546" s="6"/>
      <c r="B546" s="152"/>
      <c r="C546" s="324"/>
      <c r="D546" s="324"/>
      <c r="E546" s="7"/>
      <c r="F546" s="56"/>
    </row>
    <row r="547" spans="1:13" x14ac:dyDescent="0.2">
      <c r="A547" s="6"/>
      <c r="B547" s="24" t="s">
        <v>235</v>
      </c>
      <c r="C547" s="456"/>
      <c r="D547" s="456"/>
      <c r="E547" s="20"/>
      <c r="F547" s="25"/>
    </row>
    <row r="548" spans="1:13" x14ac:dyDescent="0.2">
      <c r="A548" s="6"/>
      <c r="B548" s="24"/>
      <c r="C548" s="456"/>
      <c r="D548" s="456"/>
      <c r="E548" s="461"/>
      <c r="F548" s="56"/>
    </row>
    <row r="549" spans="1:13" ht="13.5" thickBot="1" x14ac:dyDescent="0.25">
      <c r="A549" s="6"/>
      <c r="B549" s="73" t="s">
        <v>91</v>
      </c>
      <c r="C549" s="294"/>
      <c r="D549" s="294"/>
      <c r="E549" s="480"/>
      <c r="F549" s="60">
        <f ca="1">F539+F540+F543+F544+P532</f>
        <v>0</v>
      </c>
    </row>
    <row r="550" spans="1:13" x14ac:dyDescent="0.2">
      <c r="A550" s="6"/>
      <c r="B550" s="6"/>
      <c r="C550" s="6"/>
      <c r="D550" s="6"/>
      <c r="E550" s="454"/>
      <c r="F550" s="7"/>
    </row>
    <row r="552" spans="1:13" ht="23.25" customHeight="1" x14ac:dyDescent="0.2">
      <c r="A552" s="501"/>
      <c r="B552" s="501"/>
      <c r="C552" s="501"/>
      <c r="D552" s="501"/>
      <c r="E552" s="501"/>
      <c r="F552" s="501"/>
      <c r="G552" s="501"/>
      <c r="H552" s="501"/>
      <c r="I552" s="501"/>
      <c r="J552" s="501"/>
      <c r="K552" s="501"/>
      <c r="L552" s="501"/>
      <c r="M552" s="501"/>
    </row>
  </sheetData>
  <mergeCells count="68">
    <mergeCell ref="H357:K357"/>
    <mergeCell ref="B292:D292"/>
    <mergeCell ref="B253:D253"/>
    <mergeCell ref="G524:L524"/>
    <mergeCell ref="G452:L452"/>
    <mergeCell ref="G466:L466"/>
    <mergeCell ref="G476:L476"/>
    <mergeCell ref="G490:L490"/>
    <mergeCell ref="G500:L500"/>
    <mergeCell ref="G514:L514"/>
    <mergeCell ref="G442:L442"/>
    <mergeCell ref="G299:L299"/>
    <mergeCell ref="H350:K350"/>
    <mergeCell ref="H338:K338"/>
    <mergeCell ref="H339:K339"/>
    <mergeCell ref="H340:K340"/>
    <mergeCell ref="H341:K341"/>
    <mergeCell ref="H355:K355"/>
    <mergeCell ref="B4:L4"/>
    <mergeCell ref="I3:L3"/>
    <mergeCell ref="B1:H3"/>
    <mergeCell ref="G288:M288"/>
    <mergeCell ref="G14:K14"/>
    <mergeCell ref="G16:M16"/>
    <mergeCell ref="G26:L26"/>
    <mergeCell ref="G81:L81"/>
    <mergeCell ref="G87:K87"/>
    <mergeCell ref="G127:L127"/>
    <mergeCell ref="G210:L210"/>
    <mergeCell ref="G271:L271"/>
    <mergeCell ref="G279:M279"/>
    <mergeCell ref="B7:B11"/>
    <mergeCell ref="F7:G7"/>
    <mergeCell ref="H7:K7"/>
    <mergeCell ref="E9:G9"/>
    <mergeCell ref="H9:K9"/>
    <mergeCell ref="F11:G11"/>
    <mergeCell ref="H11:K11"/>
    <mergeCell ref="C26:D26"/>
    <mergeCell ref="C34:D34"/>
    <mergeCell ref="C36:D36"/>
    <mergeCell ref="C38:D38"/>
    <mergeCell ref="C40:D40"/>
    <mergeCell ref="B47:D47"/>
    <mergeCell ref="B49:D49"/>
    <mergeCell ref="B51:D51"/>
    <mergeCell ref="B221:D221"/>
    <mergeCell ref="B223:D223"/>
    <mergeCell ref="C208:D208"/>
    <mergeCell ref="B211:D211"/>
    <mergeCell ref="B217:D217"/>
    <mergeCell ref="B219:D219"/>
    <mergeCell ref="A552:M552"/>
    <mergeCell ref="B226:D226"/>
    <mergeCell ref="B228:D228"/>
    <mergeCell ref="B230:D230"/>
    <mergeCell ref="B234:D234"/>
    <mergeCell ref="B236:C236"/>
    <mergeCell ref="B238:D238"/>
    <mergeCell ref="B258:D258"/>
    <mergeCell ref="B240:D240"/>
    <mergeCell ref="B243:D243"/>
    <mergeCell ref="B249:D249"/>
    <mergeCell ref="H342:K342"/>
    <mergeCell ref="G367:M367"/>
    <mergeCell ref="G418:L418"/>
    <mergeCell ref="G428:L428"/>
    <mergeCell ref="H353:K353"/>
  </mergeCells>
  <conditionalFormatting sqref="F474:F476 F546:F548 F522:F524 F454 F498:F500 F382:F394 E395 F368:F376 F378 F380 F407:F409 F417:F419 F421:F429 F467:F468 F470:F472 F491:F492 F494:F496 F515:F516 F518:F520 F539:F540 F542:F544 F443:F452">
    <cfRule type="cellIs" dxfId="101" priority="33" stopIfTrue="1" operator="equal">
      <formula>"Bloqueado"</formula>
    </cfRule>
  </conditionalFormatting>
  <conditionalFormatting sqref="J397:J399">
    <cfRule type="cellIs" dxfId="100" priority="34" stopIfTrue="1" operator="equal">
      <formula>"ERRO"</formula>
    </cfRule>
    <cfRule type="cellIs" dxfId="99" priority="35" stopIfTrue="1" operator="equal">
      <formula>0</formula>
    </cfRule>
  </conditionalFormatting>
  <conditionalFormatting sqref="F453 F477 F501 F525 F549 F410:F411">
    <cfRule type="cellIs" dxfId="98" priority="36" stopIfTrue="1" operator="equal">
      <formula>"Bloqueado"</formula>
    </cfRule>
    <cfRule type="cellIs" dxfId="97" priority="37" stopIfTrue="1" operator="equal">
      <formula>"ERRO"</formula>
    </cfRule>
  </conditionalFormatting>
  <conditionalFormatting sqref="F351:F365">
    <cfRule type="cellIs" dxfId="96" priority="38" stopIfTrue="1" operator="equal">
      <formula>"bloqueado"</formula>
    </cfRule>
  </conditionalFormatting>
  <conditionalFormatting sqref="F187:F188 F397:F405">
    <cfRule type="cellIs" dxfId="95" priority="39" stopIfTrue="1" operator="equal">
      <formula>"ERRO"</formula>
    </cfRule>
  </conditionalFormatting>
  <conditionalFormatting sqref="F260:F280 F201:F210 F212 F14:F62 F64 F81:F88 F90:F186 F189:F199 F214:F216 F282:F346 F218:F258">
    <cfRule type="cellIs" dxfId="94" priority="40" stopIfTrue="1" operator="equal">
      <formula>"ERRO"</formula>
    </cfRule>
    <cfRule type="cellIs" dxfId="93" priority="41" stopIfTrue="1" operator="equal">
      <formula>"Bloqueado"</formula>
    </cfRule>
  </conditionalFormatting>
  <conditionalFormatting sqref="S140:S196">
    <cfRule type="cellIs" dxfId="92" priority="42" stopIfTrue="1" operator="lessThan">
      <formula>0</formula>
    </cfRule>
  </conditionalFormatting>
  <conditionalFormatting sqref="B7:D11">
    <cfRule type="cellIs" dxfId="91" priority="43" stopIfTrue="1" operator="equal">
      <formula>"Esta planilha só é válida para 2012"</formula>
    </cfRule>
  </conditionalFormatting>
  <conditionalFormatting sqref="F260:F280 F212 F64 F81:F88 F5:F62 F90:F210 F214:F216 F282:F411 F415:F551 F218:F258 F553:F65600">
    <cfRule type="cellIs" dxfId="90" priority="44" stopIfTrue="1" operator="equal">
      <formula>0</formula>
    </cfRule>
  </conditionalFormatting>
  <conditionalFormatting sqref="F211">
    <cfRule type="cellIs" dxfId="89" priority="24" stopIfTrue="1" operator="equal">
      <formula>"ERRO"</formula>
    </cfRule>
    <cfRule type="cellIs" dxfId="88" priority="25" stopIfTrue="1" operator="equal">
      <formula>"Bloqueado"</formula>
    </cfRule>
  </conditionalFormatting>
  <conditionalFormatting sqref="F213">
    <cfRule type="cellIs" dxfId="87" priority="27" stopIfTrue="1" operator="equal">
      <formula>"ERRO"</formula>
    </cfRule>
    <cfRule type="cellIs" dxfId="86" priority="28" stopIfTrue="1" operator="equal">
      <formula>"Bloqueado"</formula>
    </cfRule>
  </conditionalFormatting>
  <conditionalFormatting sqref="F213">
    <cfRule type="cellIs" dxfId="85" priority="29" stopIfTrue="1" operator="equal">
      <formula>0</formula>
    </cfRule>
  </conditionalFormatting>
  <conditionalFormatting sqref="F211">
    <cfRule type="cellIs" dxfId="84" priority="26" stopIfTrue="1" operator="equal">
      <formula>0</formula>
    </cfRule>
  </conditionalFormatting>
  <conditionalFormatting sqref="F65:F68 F70">
    <cfRule type="cellIs" dxfId="83" priority="18" stopIfTrue="1" operator="equal">
      <formula>"ERRO"</formula>
    </cfRule>
    <cfRule type="cellIs" dxfId="82" priority="19" stopIfTrue="1" operator="equal">
      <formula>"Bloqueado"</formula>
    </cfRule>
  </conditionalFormatting>
  <conditionalFormatting sqref="F63">
    <cfRule type="cellIs" dxfId="81" priority="21" stopIfTrue="1" operator="equal">
      <formula>"ERRO"</formula>
    </cfRule>
    <cfRule type="cellIs" dxfId="80" priority="22" stopIfTrue="1" operator="equal">
      <formula>"Bloqueado"</formula>
    </cfRule>
  </conditionalFormatting>
  <conditionalFormatting sqref="F63">
    <cfRule type="cellIs" dxfId="79" priority="23" stopIfTrue="1" operator="equal">
      <formula>0</formula>
    </cfRule>
  </conditionalFormatting>
  <conditionalFormatting sqref="F71:F80">
    <cfRule type="cellIs" dxfId="78" priority="12" stopIfTrue="1" operator="equal">
      <formula>"ERRO"</formula>
    </cfRule>
    <cfRule type="cellIs" dxfId="77" priority="13" stopIfTrue="1" operator="equal">
      <formula>"Bloqueado"</formula>
    </cfRule>
  </conditionalFormatting>
  <conditionalFormatting sqref="F65:F68 F70">
    <cfRule type="cellIs" dxfId="76" priority="20" stopIfTrue="1" operator="equal">
      <formula>0</formula>
    </cfRule>
  </conditionalFormatting>
  <conditionalFormatting sqref="F69">
    <cfRule type="cellIs" dxfId="75" priority="15" stopIfTrue="1" operator="equal">
      <formula>"ERRO"</formula>
    </cfRule>
    <cfRule type="cellIs" dxfId="74" priority="16" stopIfTrue="1" operator="equal">
      <formula>"Bloqueado"</formula>
    </cfRule>
  </conditionalFormatting>
  <conditionalFormatting sqref="F69">
    <cfRule type="cellIs" dxfId="73" priority="17" stopIfTrue="1" operator="equal">
      <formula>0</formula>
    </cfRule>
  </conditionalFormatting>
  <conditionalFormatting sqref="F71:F80">
    <cfRule type="cellIs" dxfId="72" priority="14" stopIfTrue="1" operator="equal">
      <formula>0</formula>
    </cfRule>
  </conditionalFormatting>
  <conditionalFormatting sqref="F89">
    <cfRule type="cellIs" dxfId="71" priority="9" stopIfTrue="1" operator="equal">
      <formula>"ERRO"</formula>
    </cfRule>
    <cfRule type="cellIs" dxfId="70" priority="10" stopIfTrue="1" operator="equal">
      <formula>"Bloqueado"</formula>
    </cfRule>
  </conditionalFormatting>
  <conditionalFormatting sqref="F89">
    <cfRule type="cellIs" dxfId="69" priority="11" stopIfTrue="1" operator="equal">
      <formula>0</formula>
    </cfRule>
  </conditionalFormatting>
  <conditionalFormatting sqref="F414">
    <cfRule type="cellIs" dxfId="68" priority="7" stopIfTrue="1" operator="equal">
      <formula>"Bloqueado"</formula>
    </cfRule>
  </conditionalFormatting>
  <conditionalFormatting sqref="F412:F414">
    <cfRule type="cellIs" dxfId="67" priority="8" stopIfTrue="1" operator="equal">
      <formula>0</formula>
    </cfRule>
  </conditionalFormatting>
  <conditionalFormatting sqref="F281">
    <cfRule type="cellIs" dxfId="66" priority="4" stopIfTrue="1" operator="equal">
      <formula>"ERRO"</formula>
    </cfRule>
    <cfRule type="cellIs" dxfId="65" priority="5" stopIfTrue="1" operator="equal">
      <formula>"Bloqueado"</formula>
    </cfRule>
  </conditionalFormatting>
  <conditionalFormatting sqref="F281">
    <cfRule type="cellIs" dxfId="64" priority="6" stopIfTrue="1" operator="equal">
      <formula>0</formula>
    </cfRule>
  </conditionalFormatting>
  <conditionalFormatting sqref="F217">
    <cfRule type="cellIs" dxfId="63" priority="1" stopIfTrue="1" operator="equal">
      <formula>"ERRO"</formula>
    </cfRule>
    <cfRule type="cellIs" dxfId="62" priority="2" stopIfTrue="1" operator="equal">
      <formula>"Bloqueado"</formula>
    </cfRule>
  </conditionalFormatting>
  <conditionalFormatting sqref="F217">
    <cfRule type="cellIs" dxfId="61" priority="3" stopIfTrue="1" operator="equal">
      <formula>0</formula>
    </cfRule>
  </conditionalFormatting>
  <hyperlinks>
    <hyperlink ref="B349" r:id="rId1"/>
    <hyperlink ref="I3:L3" r:id="rId2" display="Em caso de dúvidas consulte aqui"/>
  </hyperlinks>
  <pageMargins left="0.78740157480314965" right="0.78740157480314965" top="0.98425196850393704" bottom="0.98425196850393704" header="0.51181102362204722" footer="0.51181102362204722"/>
  <pageSetup paperSize="9" firstPageNumber="0" orientation="portrait" horizontalDpi="300" verticalDpi="300" r:id="rId3"/>
  <headerFooter alignWithMargins="0">
    <oddHeader xml:space="preserve">&amp;L&amp;G&amp;CTRIBUNAL DE JUSTIÇA DO ESTADO DO RIO DE JANEIRO
CENTRAL DE ARQUIVAMENTO NUR1
</oddHeader>
    <oddFooter>&amp;LFRM-CARQ-002-01&amp;CRev. 00                                                 Data: 20/04/2018 &amp;RPág,: &amp;P/&amp;N</oddFoot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5561"/>
  <sheetViews>
    <sheetView showGridLines="0" view="pageBreakPreview" topLeftCell="A61" zoomScale="160" zoomScaleNormal="115" zoomScaleSheetLayoutView="160" workbookViewId="0">
      <selection activeCell="D88" sqref="D88:G88"/>
    </sheetView>
  </sheetViews>
  <sheetFormatPr defaultRowHeight="6" customHeight="1" x14ac:dyDescent="0.2"/>
  <cols>
    <col min="1" max="2" width="14.28515625" style="212" customWidth="1"/>
    <col min="3" max="3" width="31.28515625" style="212" customWidth="1"/>
    <col min="4" max="4" width="7.42578125" style="212" customWidth="1"/>
    <col min="5" max="5" width="3.42578125" style="212" customWidth="1"/>
    <col min="6" max="6" width="1.7109375" style="212" customWidth="1"/>
    <col min="7" max="7" width="3.7109375" style="212" customWidth="1"/>
    <col min="8" max="8" width="1.7109375" style="212" customWidth="1"/>
    <col min="9" max="9" width="6.42578125" style="212" customWidth="1"/>
    <col min="10" max="10" width="7.85546875" style="212" customWidth="1"/>
    <col min="11" max="11" width="9.85546875" style="212" hidden="1" customWidth="1"/>
    <col min="12" max="15" width="9.140625" style="212" hidden="1" customWidth="1"/>
    <col min="16" max="16" width="0.85546875" style="212" customWidth="1"/>
    <col min="17" max="17" width="0.28515625" style="213" customWidth="1"/>
    <col min="18" max="18" width="2" style="212" customWidth="1"/>
    <col min="19" max="19" width="19.140625" style="212" customWidth="1"/>
    <col min="20" max="20" width="9.140625" style="212"/>
    <col min="21" max="21" width="8.85546875" style="212" customWidth="1"/>
    <col min="22" max="16384" width="9.140625" style="212"/>
  </cols>
  <sheetData>
    <row r="1" spans="1:18" ht="12" customHeight="1" x14ac:dyDescent="0.2">
      <c r="B1" s="173" t="s">
        <v>349</v>
      </c>
    </row>
    <row r="2" spans="1:18" ht="10.5" customHeight="1" x14ac:dyDescent="0.2">
      <c r="B2" s="173" t="s">
        <v>350</v>
      </c>
      <c r="R2" s="214"/>
    </row>
    <row r="3" spans="1:18" ht="10.5" customHeight="1" x14ac:dyDescent="0.2">
      <c r="B3" s="173" t="s">
        <v>351</v>
      </c>
      <c r="R3" s="214"/>
    </row>
    <row r="4" spans="1:18" ht="10.5" customHeight="1" x14ac:dyDescent="0.2">
      <c r="B4" s="173" t="s">
        <v>352</v>
      </c>
      <c r="R4" s="214"/>
    </row>
    <row r="5" spans="1:18" ht="10.5" customHeight="1" x14ac:dyDescent="0.2">
      <c r="B5" s="173" t="s">
        <v>353</v>
      </c>
      <c r="R5" s="214"/>
    </row>
    <row r="6" spans="1:18" s="173" customFormat="1" ht="11.25" customHeight="1" x14ac:dyDescent="0.2">
      <c r="B6" s="173" t="s">
        <v>354</v>
      </c>
      <c r="Q6" s="215"/>
    </row>
    <row r="7" spans="1:18" ht="11.25" customHeight="1" x14ac:dyDescent="0.2">
      <c r="B7" s="173" t="s">
        <v>355</v>
      </c>
    </row>
    <row r="8" spans="1:18" ht="6" customHeight="1" x14ac:dyDescent="0.2">
      <c r="J8" s="214"/>
      <c r="K8" s="214"/>
    </row>
    <row r="9" spans="1:18" ht="15" x14ac:dyDescent="0.2">
      <c r="A9" s="216" t="s">
        <v>356</v>
      </c>
      <c r="B9" s="217" t="str">
        <f>IF('Atos Serv. Jud. Lei. 6369'!$H$7=0,"",'Atos Serv. Jud. Lei. 6369'!$H$7)</f>
        <v/>
      </c>
      <c r="E9" s="218"/>
      <c r="F9" s="218"/>
      <c r="G9" s="218"/>
      <c r="H9" s="218"/>
      <c r="I9" s="218"/>
      <c r="J9" s="218"/>
      <c r="K9" s="218"/>
      <c r="L9" s="218"/>
    </row>
    <row r="10" spans="1:18" ht="6" customHeight="1" x14ac:dyDescent="0.2">
      <c r="A10" s="216"/>
      <c r="B10" s="219"/>
      <c r="C10" s="220"/>
      <c r="D10" s="220"/>
      <c r="E10" s="220"/>
      <c r="F10" s="221"/>
      <c r="G10" s="220"/>
      <c r="H10" s="221"/>
      <c r="I10" s="220"/>
      <c r="J10" s="218"/>
      <c r="K10" s="218"/>
    </row>
    <row r="11" spans="1:18" ht="18" x14ac:dyDescent="0.25">
      <c r="A11" s="559" t="s">
        <v>357</v>
      </c>
      <c r="B11" s="559"/>
      <c r="C11" s="559"/>
      <c r="D11" s="559"/>
      <c r="E11" s="559"/>
      <c r="F11" s="559"/>
      <c r="G11" s="559"/>
      <c r="H11" s="559"/>
      <c r="I11" s="559"/>
      <c r="J11" s="559"/>
      <c r="K11" s="559"/>
      <c r="L11" s="419"/>
      <c r="M11" s="222"/>
      <c r="N11" s="222"/>
      <c r="O11" s="222"/>
      <c r="P11" s="222"/>
    </row>
    <row r="13" spans="1:18" ht="15" x14ac:dyDescent="0.2">
      <c r="B13" s="223" t="s">
        <v>358</v>
      </c>
      <c r="C13" s="223"/>
      <c r="E13" s="223"/>
      <c r="F13" s="223"/>
      <c r="H13" s="224"/>
      <c r="I13" s="224"/>
      <c r="J13" s="224"/>
      <c r="K13" s="224"/>
      <c r="L13" s="224"/>
    </row>
    <row r="14" spans="1:18" ht="15.75" x14ac:dyDescent="0.25">
      <c r="A14" s="216"/>
      <c r="B14" s="225">
        <f>GRERJFINAL!C9</f>
        <v>0</v>
      </c>
      <c r="C14" s="216"/>
      <c r="D14" s="218"/>
      <c r="E14" s="223"/>
      <c r="F14" s="223"/>
      <c r="H14" s="224"/>
      <c r="I14" s="224"/>
      <c r="J14" s="224"/>
      <c r="K14" s="224"/>
      <c r="L14" s="224"/>
    </row>
    <row r="15" spans="1:18" ht="15" x14ac:dyDescent="0.2">
      <c r="B15" s="560" t="str">
        <f>IF(GRERJFINAL!P9=0,"",IF(O15=100,"","Valores corrigidos na proporção de"))</f>
        <v/>
      </c>
      <c r="C15" s="560"/>
      <c r="D15" s="226" t="str">
        <f>IF(GRERJFINAL!P9=0,"",IF(O15=100,"",IF(GRERJFINAL!G9="",O15,GRERJFINAL!G9)))</f>
        <v/>
      </c>
      <c r="E15" s="212" t="str">
        <f>IF(GRERJFINAL!P9=0,"",IF(O15=100,"","%"))</f>
        <v/>
      </c>
      <c r="N15" s="213"/>
      <c r="O15" s="216" t="e">
        <f>IF(GRERJFINAL!G9="",ROUND(100/GRERJFINAL!$P$9,2),GRERJFINAL!G9)</f>
        <v>#DIV/0!</v>
      </c>
    </row>
    <row r="17" spans="1:22" ht="36.75" customHeight="1" x14ac:dyDescent="0.2">
      <c r="B17" s="227" t="s">
        <v>299</v>
      </c>
      <c r="C17" s="228" t="s">
        <v>300</v>
      </c>
      <c r="D17" s="561" t="s">
        <v>359</v>
      </c>
      <c r="E17" s="561"/>
      <c r="F17" s="561"/>
      <c r="G17" s="561"/>
      <c r="H17" s="562" t="s">
        <v>360</v>
      </c>
      <c r="I17" s="562"/>
      <c r="J17" s="562"/>
      <c r="K17" s="229"/>
      <c r="L17" s="229" t="s">
        <v>361</v>
      </c>
      <c r="M17" s="229" t="s">
        <v>362</v>
      </c>
      <c r="N17" s="214"/>
    </row>
    <row r="18" spans="1:22" ht="15" x14ac:dyDescent="0.2">
      <c r="B18" s="361" t="s">
        <v>304</v>
      </c>
      <c r="C18" s="362" t="s">
        <v>363</v>
      </c>
      <c r="D18" s="563">
        <f t="shared" ref="D18:D23" ca="1" si="0">ABS(O18)</f>
        <v>0</v>
      </c>
      <c r="E18" s="563"/>
      <c r="F18" s="563"/>
      <c r="G18" s="563"/>
      <c r="H18" s="564" t="str">
        <f t="shared" ref="H18:H23" ca="1" si="1">IF(O18=0,"",IF(M18&gt;L18,"A Recolher","A Maior"))</f>
        <v/>
      </c>
      <c r="I18" s="564"/>
      <c r="J18" s="564"/>
      <c r="K18" s="420"/>
      <c r="L18" s="230">
        <f>ROUNDDOWN(GRERJFINAL!$D$24/P18,2)</f>
        <v>0</v>
      </c>
      <c r="M18" s="230">
        <f t="shared" ref="M18:M23" ca="1" si="2">ROUNDDOWN(N18,2)</f>
        <v>0</v>
      </c>
      <c r="N18" s="231">
        <f ca="1">GRERJFINAL!$F$24/P18</f>
        <v>0</v>
      </c>
      <c r="O18" s="232">
        <f ca="1">ROUNDDOWN(L18-M18,2)</f>
        <v>0</v>
      </c>
      <c r="P18" s="212">
        <f>IF(GRERJFINAL!C9="",10000000000,IF(GRERJFINAL!G9="",GRERJFINAL!$P$9,100/GRERJFINAL!G9))</f>
        <v>10000000000</v>
      </c>
      <c r="Q18" s="213">
        <f t="shared" ref="Q18:Q35" ca="1" si="3">IF(H18="A Recolher",D18,0)</f>
        <v>0</v>
      </c>
    </row>
    <row r="19" spans="1:22" ht="15" x14ac:dyDescent="0.2">
      <c r="B19" s="363" t="s">
        <v>307</v>
      </c>
      <c r="C19" s="364" t="s">
        <v>308</v>
      </c>
      <c r="D19" s="557">
        <f t="shared" ca="1" si="0"/>
        <v>0</v>
      </c>
      <c r="E19" s="557"/>
      <c r="F19" s="557"/>
      <c r="G19" s="557"/>
      <c r="H19" s="558" t="str">
        <f t="shared" ca="1" si="1"/>
        <v/>
      </c>
      <c r="I19" s="558"/>
      <c r="J19" s="558"/>
      <c r="K19" s="420"/>
      <c r="L19" s="230">
        <f>ROUNDDOWN(GRERJFINAL!$D$26/P18,2)</f>
        <v>0</v>
      </c>
      <c r="M19" s="230">
        <f t="shared" ca="1" si="2"/>
        <v>0</v>
      </c>
      <c r="N19" s="233">
        <f ca="1">GRERJFINAL!$F$26/P18</f>
        <v>0</v>
      </c>
      <c r="O19" s="232">
        <f t="shared" ref="O19:O44" ca="1" si="4">ROUNDDOWN(L19-M19,2)</f>
        <v>0</v>
      </c>
      <c r="Q19" s="213">
        <f t="shared" ca="1" si="3"/>
        <v>0</v>
      </c>
    </row>
    <row r="20" spans="1:22" ht="15" x14ac:dyDescent="0.2">
      <c r="B20" s="363" t="s">
        <v>309</v>
      </c>
      <c r="C20" s="364" t="s">
        <v>310</v>
      </c>
      <c r="D20" s="557">
        <f t="shared" ca="1" si="0"/>
        <v>0</v>
      </c>
      <c r="E20" s="557"/>
      <c r="F20" s="557"/>
      <c r="G20" s="557"/>
      <c r="H20" s="558" t="str">
        <f t="shared" ca="1" si="1"/>
        <v/>
      </c>
      <c r="I20" s="558"/>
      <c r="J20" s="558"/>
      <c r="K20" s="420"/>
      <c r="L20" s="230">
        <f>ROUNDDOWN(GRERJFINAL!$D$28/P18,2)</f>
        <v>0</v>
      </c>
      <c r="M20" s="230">
        <f t="shared" ca="1" si="2"/>
        <v>0</v>
      </c>
      <c r="N20" s="231">
        <f ca="1">GRERJFINAL!$F$28/P18</f>
        <v>0</v>
      </c>
      <c r="O20" s="232">
        <f t="shared" ca="1" si="4"/>
        <v>0</v>
      </c>
      <c r="Q20" s="213">
        <f t="shared" ca="1" si="3"/>
        <v>0</v>
      </c>
    </row>
    <row r="21" spans="1:22" ht="15" x14ac:dyDescent="0.2">
      <c r="B21" s="363" t="s">
        <v>311</v>
      </c>
      <c r="C21" s="364" t="s">
        <v>312</v>
      </c>
      <c r="D21" s="557">
        <f t="shared" ca="1" si="0"/>
        <v>0</v>
      </c>
      <c r="E21" s="557"/>
      <c r="F21" s="557"/>
      <c r="G21" s="557"/>
      <c r="H21" s="558" t="str">
        <f t="shared" ca="1" si="1"/>
        <v/>
      </c>
      <c r="I21" s="558"/>
      <c r="J21" s="558"/>
      <c r="K21" s="420"/>
      <c r="L21" s="230">
        <f>ROUNDDOWN(GRERJFINAL!$D$30/P18,2)</f>
        <v>0</v>
      </c>
      <c r="M21" s="230">
        <f t="shared" ca="1" si="2"/>
        <v>0</v>
      </c>
      <c r="N21" s="233">
        <f ca="1">GRERJFINAL!$F$30/P18</f>
        <v>0</v>
      </c>
      <c r="O21" s="232">
        <f t="shared" ca="1" si="4"/>
        <v>0</v>
      </c>
      <c r="Q21" s="213">
        <f t="shared" ca="1" si="3"/>
        <v>0</v>
      </c>
    </row>
    <row r="22" spans="1:22" ht="15" x14ac:dyDescent="0.2">
      <c r="B22" s="363" t="s">
        <v>313</v>
      </c>
      <c r="C22" s="364" t="s">
        <v>314</v>
      </c>
      <c r="D22" s="557">
        <f t="shared" ca="1" si="0"/>
        <v>0</v>
      </c>
      <c r="E22" s="557"/>
      <c r="F22" s="557"/>
      <c r="G22" s="557"/>
      <c r="H22" s="558" t="str">
        <f t="shared" ca="1" si="1"/>
        <v/>
      </c>
      <c r="I22" s="558"/>
      <c r="J22" s="558"/>
      <c r="K22" s="420"/>
      <c r="L22" s="230">
        <f>ROUNDDOWN(GRERJFINAL!$D$33/P18,2)</f>
        <v>0</v>
      </c>
      <c r="M22" s="230">
        <f t="shared" ca="1" si="2"/>
        <v>0</v>
      </c>
      <c r="N22" s="233">
        <f ca="1">GRERJFINAL!$F$33/P18</f>
        <v>0</v>
      </c>
      <c r="O22" s="232">
        <f t="shared" ca="1" si="4"/>
        <v>0</v>
      </c>
      <c r="Q22" s="213">
        <f t="shared" ca="1" si="3"/>
        <v>0</v>
      </c>
    </row>
    <row r="23" spans="1:22" ht="15" x14ac:dyDescent="0.2">
      <c r="B23" s="363" t="s">
        <v>315</v>
      </c>
      <c r="C23" s="364" t="s">
        <v>316</v>
      </c>
      <c r="D23" s="557">
        <f t="shared" ca="1" si="0"/>
        <v>0</v>
      </c>
      <c r="E23" s="557"/>
      <c r="F23" s="557"/>
      <c r="G23" s="557"/>
      <c r="H23" s="558" t="str">
        <f t="shared" ca="1" si="1"/>
        <v/>
      </c>
      <c r="I23" s="558"/>
      <c r="J23" s="558"/>
      <c r="K23" s="420"/>
      <c r="L23" s="230">
        <f>ROUNDDOWN(GRERJFINAL!$D$35/P18,2)</f>
        <v>0</v>
      </c>
      <c r="M23" s="230">
        <f t="shared" ca="1" si="2"/>
        <v>0</v>
      </c>
      <c r="N23" s="231">
        <f ca="1">GRERJFINAL!$F$35/P18</f>
        <v>0</v>
      </c>
      <c r="O23" s="232">
        <f t="shared" ca="1" si="4"/>
        <v>0</v>
      </c>
      <c r="Q23" s="213">
        <f t="shared" ca="1" si="3"/>
        <v>0</v>
      </c>
    </row>
    <row r="24" spans="1:22" ht="15" customHeight="1" x14ac:dyDescent="0.2">
      <c r="B24" s="363" t="str">
        <f>IF('Atos Serv. Jud. Lei. 6369'!$O$299&gt;1,"ERRO",IF('Atos Serv. Jud. Lei. 6369'!$O$299=0,"",IF('Atos Serv. Jud. Lei. 6369'!$F$318=1,"1108-0",IF('Atos Serv. Jud. Lei. 6369'!$F$314=1,"1114-0","1108-0"))))</f>
        <v/>
      </c>
      <c r="C24" s="365" t="str">
        <f>IF('Atos Serv. Jud. Lei. 6369'!$O$299&gt;1,"ERRO",IF('Atos Serv. Jud. Lei. 6369'!$O$299=0,"",IF('Atos Serv. Jud. Lei. 6369'!$F$318=1,"Avaliação por Oficial de Justiça",IF('Atos Serv. Jud. Lei. 6369'!$F$314=1,"Central de Avaliadores da Capital","Atos dos Avaliadores Judiciais"))))</f>
        <v/>
      </c>
      <c r="D24" s="557" t="str">
        <f>IF(B24="","",ABS(O24))</f>
        <v/>
      </c>
      <c r="E24" s="557"/>
      <c r="F24" s="557"/>
      <c r="G24" s="557"/>
      <c r="H24" s="558" t="str">
        <f>IF(B24="","",IF(O24=0,"",IF(M24&gt;L24,"A Recolher","A Maior")))</f>
        <v/>
      </c>
      <c r="I24" s="558"/>
      <c r="J24" s="558"/>
      <c r="K24" s="234"/>
      <c r="L24" s="235">
        <f>IF(B24="",0,ROUNDDOWN(GRERJFINAL!$D$37/P18,2))</f>
        <v>0</v>
      </c>
      <c r="M24" s="235">
        <f>IF(B24="",0,ROUNDDOWN(N24,2))</f>
        <v>0</v>
      </c>
      <c r="N24" s="231">
        <f ca="1">GRERJFINAL!$F$37/P18</f>
        <v>0</v>
      </c>
      <c r="O24" s="232">
        <f t="shared" si="4"/>
        <v>0</v>
      </c>
      <c r="Q24" s="213">
        <f t="shared" si="3"/>
        <v>0</v>
      </c>
    </row>
    <row r="25" spans="1:22" ht="15" x14ac:dyDescent="0.2">
      <c r="B25" s="363" t="str">
        <f>IF(GRERJFINAL!$C$39="Avaliador Judicial",GRERJFINAL!$B$39,"")</f>
        <v/>
      </c>
      <c r="C25" s="364" t="str">
        <f>IF('Atos Serv. Jud. Lei. 6369'!$O$299&gt;1,"ERRO",IF('Atos Serv. Jud. Lei. 6369'!$F$316=1,"Avaliador Judicial",""))</f>
        <v/>
      </c>
      <c r="D25" s="557" t="str">
        <f>IF(B25="","",ABS(O25))</f>
        <v/>
      </c>
      <c r="E25" s="557"/>
      <c r="F25" s="557"/>
      <c r="G25" s="557"/>
      <c r="H25" s="558" t="str">
        <f>IF(B25="","",IF(O25=0,"",IF(M25&gt;L25,"A Recolher","A Maior")))</f>
        <v/>
      </c>
      <c r="I25" s="558"/>
      <c r="J25" s="558"/>
      <c r="K25" s="420"/>
      <c r="L25" s="230">
        <f>IF(B25="",0,IF(GRERJFINAL!$C$39="Avaliador Judicial",ROUNDDOWN(GRERJFINAL!$D$39/P18,2),0))</f>
        <v>0</v>
      </c>
      <c r="M25" s="230">
        <f>IF(B25="",0,ROUNDDOWN(N25,2))</f>
        <v>0</v>
      </c>
      <c r="N25" s="231">
        <f ca="1">GRERJFINAL!$F$39/P18</f>
        <v>0</v>
      </c>
      <c r="O25" s="232">
        <f t="shared" si="4"/>
        <v>0</v>
      </c>
      <c r="Q25" s="213">
        <f t="shared" si="3"/>
        <v>0</v>
      </c>
    </row>
    <row r="26" spans="1:22" ht="15" x14ac:dyDescent="0.2">
      <c r="B26" s="366" t="s">
        <v>317</v>
      </c>
      <c r="C26" s="367" t="s">
        <v>318</v>
      </c>
      <c r="D26" s="557">
        <f ca="1">Q26</f>
        <v>0</v>
      </c>
      <c r="E26" s="557"/>
      <c r="F26" s="557"/>
      <c r="G26" s="557"/>
      <c r="H26" s="558" t="str">
        <f ca="1">IF(D26=0,"",IF(D26="","","A Recolher"))</f>
        <v/>
      </c>
      <c r="I26" s="558"/>
      <c r="J26" s="558"/>
      <c r="K26" s="420"/>
      <c r="L26" s="230"/>
      <c r="M26" s="230"/>
      <c r="N26" s="233"/>
      <c r="O26" s="232"/>
      <c r="Q26" s="213">
        <f ca="1">ROUNDDOWN(SUM(Q18:Q25)*0.1,2)</f>
        <v>0</v>
      </c>
    </row>
    <row r="27" spans="1:22" ht="15" x14ac:dyDescent="0.2">
      <c r="A27" s="213"/>
      <c r="B27" s="368" t="str">
        <f>S27</f>
        <v/>
      </c>
      <c r="C27" s="369" t="str">
        <f ca="1">IF(D27="ERRO","Mais de um distribuidor marcado","Atos dos Distribuidores")</f>
        <v>Atos dos Distribuidores</v>
      </c>
      <c r="D27" s="557">
        <f ca="1">IF(GRERJFINAL!F43="ERRO","ERRO",ABS(O27))</f>
        <v>0</v>
      </c>
      <c r="E27" s="557"/>
      <c r="F27" s="557"/>
      <c r="G27" s="557"/>
      <c r="H27" s="558" t="str">
        <f ca="1">IF(D27="ERRO","ERRO",IF(O27=0,"",IF(M27&gt;L27,"A Recolher","A Maior")))</f>
        <v/>
      </c>
      <c r="I27" s="558"/>
      <c r="J27" s="558"/>
      <c r="K27" s="420"/>
      <c r="L27" s="230">
        <f>ROUNDDOWN(GRERJFINAL!$D$43/P18,2)</f>
        <v>0</v>
      </c>
      <c r="M27" s="230">
        <f ca="1">ROUNDDOWN(N27,2)</f>
        <v>0</v>
      </c>
      <c r="N27" s="233">
        <f ca="1">GRERJFINAL!$F$43/P18</f>
        <v>0</v>
      </c>
      <c r="O27" s="232">
        <f t="shared" ca="1" si="4"/>
        <v>0</v>
      </c>
      <c r="Q27" s="213">
        <f t="shared" ca="1" si="3"/>
        <v>0</v>
      </c>
      <c r="S27" s="212" t="str">
        <f>IF('Atos Serv. Jud. Lei. 6369'!$E$433&gt;0,"2102-2",IF('Atos Serv. Jud. Lei. 6369'!$E$435&gt;0,"3071-0024739-1",IF('Atos Serv. Jud. Lei. 6369'!$E$437&gt;0,"0065-0210279-0",IF('Atos Serv. Jud. Lei. 6369'!$E$439,"0445-0137200-9",IF('Atos Serv. Jud. Lei. 6369'!$E$441&gt;0,"1669-0012095-2","")))))</f>
        <v/>
      </c>
    </row>
    <row r="28" spans="1:22" ht="15" x14ac:dyDescent="0.2">
      <c r="A28" s="213"/>
      <c r="B28" s="370" t="str">
        <f>IF('Atos Serv. Jud. Lei. 6369'!$E$433&gt;0,"2701-1",IF('Atos Serv. Jud. Lei. 6369'!$E$435&gt;0,"2702-9",IF('Atos Serv. Jud. Lei. 6369'!$E$437&gt;0,"2703-7",IF('Atos Serv. Jud. Lei. 6369'!$E$439,"2704-5",IF('Atos Serv. Jud. Lei. 6369'!$E$441,"2705-2","")))))</f>
        <v/>
      </c>
      <c r="C28" s="369" t="str">
        <f>IF(B28="","","Distribuidores (Aviso TJ Nº 22/2013)")</f>
        <v/>
      </c>
      <c r="D28" s="557" t="str">
        <f>IF(B28="","",ABS(O28))</f>
        <v/>
      </c>
      <c r="E28" s="557"/>
      <c r="F28" s="557"/>
      <c r="G28" s="557"/>
      <c r="H28" s="558" t="str">
        <f>IF(B28="","",IF(O28=0,"",IF(M28&gt;L28,"A Recolher","A Maior")))</f>
        <v/>
      </c>
      <c r="I28" s="558"/>
      <c r="J28" s="558"/>
      <c r="K28" s="420"/>
      <c r="L28" s="230">
        <f>ROUNDDOWN(GRERJFINAL!$D$45/P18,2)</f>
        <v>0</v>
      </c>
      <c r="M28" s="230">
        <f ca="1">ROUNDDOWN(N28,2)</f>
        <v>0</v>
      </c>
      <c r="N28" s="233">
        <f ca="1">GRERJFINAL!$F$45/P18</f>
        <v>0</v>
      </c>
      <c r="O28" s="232">
        <f ca="1">ROUNDDOWN(L28-M28,2)</f>
        <v>0</v>
      </c>
      <c r="Q28" s="213">
        <f>IF(H28="A Recolher",D28,0)</f>
        <v>0</v>
      </c>
    </row>
    <row r="29" spans="1:22" ht="15" x14ac:dyDescent="0.2">
      <c r="B29" s="368" t="s">
        <v>321</v>
      </c>
      <c r="C29" s="364" t="s">
        <v>322</v>
      </c>
      <c r="D29" s="557">
        <f ca="1">Q29</f>
        <v>0</v>
      </c>
      <c r="E29" s="557"/>
      <c r="F29" s="557"/>
      <c r="G29" s="557"/>
      <c r="H29" s="558" t="str">
        <f ca="1">IF(D29=0,"",IF(D29="","","A Recolher"))</f>
        <v/>
      </c>
      <c r="I29" s="558"/>
      <c r="J29" s="558"/>
      <c r="K29" s="420"/>
      <c r="L29" s="230"/>
      <c r="M29" s="230"/>
      <c r="N29" s="233"/>
      <c r="O29" s="232"/>
      <c r="Q29" s="213">
        <f ca="1">IF((Q27+Q33+Q35+Q37+Q39)=0,0,ROUNDDOWN((Q27+Q33+Q35+Q37+Q39)*0.2,2))</f>
        <v>0</v>
      </c>
      <c r="V29" s="359"/>
    </row>
    <row r="30" spans="1:22" ht="15" x14ac:dyDescent="0.2">
      <c r="B30" s="363" t="s">
        <v>323</v>
      </c>
      <c r="C30" s="364" t="s">
        <v>324</v>
      </c>
      <c r="D30" s="557">
        <f ca="1">ABS(O30)</f>
        <v>0</v>
      </c>
      <c r="E30" s="557"/>
      <c r="F30" s="557"/>
      <c r="G30" s="557"/>
      <c r="H30" s="558" t="str">
        <f ca="1">IF(O30=0,"",IF(M30&gt;L30,"A Recolher","A Maior"))</f>
        <v/>
      </c>
      <c r="I30" s="558"/>
      <c r="J30" s="558"/>
      <c r="K30" s="420"/>
      <c r="L30" s="230">
        <f>ROUNDDOWN(GRERJFINAL!$D$49/P18,2)</f>
        <v>0</v>
      </c>
      <c r="M30" s="230">
        <f ca="1">ROUNDDOWN(N30,2)</f>
        <v>0</v>
      </c>
      <c r="N30" s="231">
        <f ca="1">GRERJFINAL!$F$49/P18</f>
        <v>0</v>
      </c>
      <c r="O30" s="232">
        <f t="shared" ca="1" si="4"/>
        <v>0</v>
      </c>
      <c r="P30" s="139"/>
      <c r="Q30" s="213">
        <f t="shared" ca="1" si="3"/>
        <v>0</v>
      </c>
      <c r="R30" s="139"/>
      <c r="V30" s="359"/>
    </row>
    <row r="31" spans="1:22" ht="15" x14ac:dyDescent="0.2">
      <c r="B31" s="363" t="s">
        <v>364</v>
      </c>
      <c r="C31" s="364" t="s">
        <v>326</v>
      </c>
      <c r="D31" s="557">
        <f ca="1">Q31</f>
        <v>0</v>
      </c>
      <c r="E31" s="557"/>
      <c r="F31" s="557"/>
      <c r="G31" s="557"/>
      <c r="H31" s="558" t="str">
        <f ca="1">IF(D31=0,"",IF(D31="","","A Recolher"))</f>
        <v/>
      </c>
      <c r="I31" s="558"/>
      <c r="J31" s="558"/>
      <c r="K31" s="420"/>
      <c r="L31" s="230"/>
      <c r="M31" s="230"/>
      <c r="N31" s="233"/>
      <c r="O31" s="232"/>
      <c r="Q31" s="213">
        <f ca="1">ROUNDDOWN((SUM(Q18:Q25)+Q27+Q33+Q35+Q37+Q39)*0.05,2)</f>
        <v>0</v>
      </c>
    </row>
    <row r="32" spans="1:22" ht="15" x14ac:dyDescent="0.2">
      <c r="B32" s="363" t="s">
        <v>365</v>
      </c>
      <c r="C32" s="371" t="s">
        <v>328</v>
      </c>
      <c r="D32" s="567">
        <f ca="1">D31</f>
        <v>0</v>
      </c>
      <c r="E32" s="567"/>
      <c r="F32" s="567"/>
      <c r="G32" s="567"/>
      <c r="H32" s="568" t="str">
        <f ca="1">IF(D32=0,"",IF(D32="","","A Recolher"))</f>
        <v/>
      </c>
      <c r="I32" s="568"/>
      <c r="J32" s="568"/>
      <c r="K32" s="420"/>
      <c r="L32" s="230"/>
      <c r="M32" s="230"/>
      <c r="N32" s="233"/>
      <c r="O32" s="232"/>
      <c r="Q32" s="213">
        <f ca="1">Q31</f>
        <v>0</v>
      </c>
    </row>
    <row r="33" spans="1:21" ht="15" x14ac:dyDescent="0.2">
      <c r="B33" s="363" t="str">
        <f>S33</f>
        <v/>
      </c>
      <c r="C33" s="369" t="str">
        <f>IF(B33="","",IF(D33="ERRO","Mais de um distribuidor marcado","Atos dos Distribuidores"))</f>
        <v/>
      </c>
      <c r="D33" s="565">
        <f ca="1">IF(GRERJFINAL!F55="ERRO","ERRO",IF(B33="",0,ABS(O33)))</f>
        <v>0</v>
      </c>
      <c r="E33" s="565"/>
      <c r="F33" s="565"/>
      <c r="G33" s="565"/>
      <c r="H33" s="569" t="str">
        <f ca="1">IF(D33="ERRO","ERRO",IF(B33="","",IF(O33=0,"",IF(M33&gt;L33,"A Recolher","A Maior"))))</f>
        <v/>
      </c>
      <c r="I33" s="569"/>
      <c r="J33" s="569"/>
      <c r="K33" s="420"/>
      <c r="L33" s="230">
        <f>IF(B33="",0,ROUNDDOWN(GRERJFINAL!$D$55/P18,2))</f>
        <v>0</v>
      </c>
      <c r="M33" s="230">
        <f t="shared" ref="M33:M40" si="5">IF(B33="",0,ROUNDDOWN(N33,2))</f>
        <v>0</v>
      </c>
      <c r="N33" s="226">
        <f ca="1">GRERJFINAL!$F$55/P18</f>
        <v>0</v>
      </c>
      <c r="O33" s="232">
        <f t="shared" si="4"/>
        <v>0</v>
      </c>
      <c r="Q33" s="213">
        <f t="shared" ca="1" si="3"/>
        <v>0</v>
      </c>
      <c r="S33" s="212" t="str">
        <f>IF('Atos Serv. Jud. Lei. 6369'!$E$457&gt;0,"2102-2",IF('Atos Serv. Jud. Lei. 6369'!$E$459&gt;0,"3071-0024739-1",IF('Atos Serv. Jud. Lei. 6369'!$E$461&gt;0,"0065-0210279-0",IF('Atos Serv. Jud. Lei. 6369'!$E$463,"0445-0137200-9",IF('Atos Serv. Jud. Lei. 6369'!$E$465&gt;0,"1669-0012095-2","")))))</f>
        <v/>
      </c>
    </row>
    <row r="34" spans="1:21" ht="15" x14ac:dyDescent="0.2">
      <c r="B34" s="372" t="str">
        <f>IF('Atos Serv. Jud. Lei. 6369'!$E$457&gt;0,"2701-1",IF('Atos Serv. Jud. Lei. 6369'!$E$459&gt;0,"2702-9",IF('Atos Serv. Jud. Lei. 6369'!$E$461&gt;0,"2703-7",IF('Atos Serv. Jud. Lei. 6369'!$E$463,"2704-5",IF('Atos Serv. Jud. Lei. 6369'!$E$465,"2705-2","")))))</f>
        <v/>
      </c>
      <c r="C34" s="369" t="str">
        <f>IF(B34="","","Distribuidores (Aviso TJ Nº 22/2013)")</f>
        <v/>
      </c>
      <c r="D34" s="557" t="str">
        <f>IF(B34="","",ABS(O34))</f>
        <v/>
      </c>
      <c r="E34" s="557"/>
      <c r="F34" s="557"/>
      <c r="G34" s="557"/>
      <c r="H34" s="558" t="str">
        <f>IF(B34="","",IF(O34=0,"",IF(M34&gt;L34,"A Recolher","A Maior")))</f>
        <v/>
      </c>
      <c r="I34" s="558"/>
      <c r="J34" s="558"/>
      <c r="K34" s="420"/>
      <c r="L34" s="230">
        <f>IF(B34="",0,ROUNDDOWN(GRERJFINAL!$D$57/P18,2))</f>
        <v>0</v>
      </c>
      <c r="M34" s="230">
        <f t="shared" si="5"/>
        <v>0</v>
      </c>
      <c r="N34" s="226">
        <f ca="1">GRERJFINAL!$F$57/P18</f>
        <v>0</v>
      </c>
      <c r="O34" s="232">
        <f>ROUNDDOWN(L34-M34,2)</f>
        <v>0</v>
      </c>
      <c r="Q34" s="213">
        <f>IF(H34="A Recolher",D34,0)</f>
        <v>0</v>
      </c>
      <c r="T34" s="359"/>
    </row>
    <row r="35" spans="1:21" ht="15" x14ac:dyDescent="0.2">
      <c r="B35" s="373" t="str">
        <f>S35</f>
        <v/>
      </c>
      <c r="C35" s="374" t="str">
        <f>IF(B35="","",IF(D35="ERRO","Mais de um distribuidor marcado","Atos dos Distribuidores"))</f>
        <v/>
      </c>
      <c r="D35" s="565">
        <f ca="1">IF(GRERJFINAL!F59="ERRO","ERRO",IF(B35="",0,ABS(O35)))</f>
        <v>0</v>
      </c>
      <c r="E35" s="565"/>
      <c r="F35" s="565"/>
      <c r="G35" s="565"/>
      <c r="H35" s="566" t="str">
        <f ca="1">IF(D35="ERRO","ERRO",IF(B35="","",IF(O35=0,"",IF(M35&gt;L35,"A Recolher","A Maior"))))</f>
        <v/>
      </c>
      <c r="I35" s="566"/>
      <c r="J35" s="566"/>
      <c r="K35" s="420"/>
      <c r="L35" s="230">
        <f>IF(B35="",0,ROUNDDOWN(GRERJFINAL!$D$59/P18,2))</f>
        <v>0</v>
      </c>
      <c r="M35" s="230">
        <f t="shared" si="5"/>
        <v>0</v>
      </c>
      <c r="N35" s="226">
        <f ca="1">GRERJFINAL!$F$59/P18</f>
        <v>0</v>
      </c>
      <c r="O35" s="232">
        <f t="shared" si="4"/>
        <v>0</v>
      </c>
      <c r="Q35" s="213">
        <f t="shared" ca="1" si="3"/>
        <v>0</v>
      </c>
      <c r="S35" s="212" t="str">
        <f>IF('Atos Serv. Jud. Lei. 6369'!$E$481&gt;0,"2102-2",IF('Atos Serv. Jud. Lei. 6369'!$E$483&gt;0,"3071-0024739-1",IF('Atos Serv. Jud. Lei. 6369'!$E$485&gt;0,"0065-0210279-0",IF('Atos Serv. Jud. Lei. 6369'!$E$487,"0445-0137200-9",IF('Atos Serv. Jud. Lei. 6369'!$E$489&gt;0,"1669-0012095-2","")))))</f>
        <v/>
      </c>
      <c r="T35" s="359"/>
    </row>
    <row r="36" spans="1:21" ht="15" x14ac:dyDescent="0.2">
      <c r="B36" s="375" t="str">
        <f>IF('Atos Serv. Jud. Lei. 6369'!$E$481&gt;0,"2701-1",IF('Atos Serv. Jud. Lei. 6369'!$E$483&gt;0,"2702-9",IF('Atos Serv. Jud. Lei. 6369'!$E$485&gt;0,"2703-7",IF('Atos Serv. Jud. Lei. 6369'!$E$487,"2704-5",IF('Atos Serv. Jud. Lei. 6369'!$E$489,"2705-2","")))))</f>
        <v/>
      </c>
      <c r="C36" s="376" t="str">
        <f>IF(B36="","","Distribuidores (Aviso TJ Nº 22/2013)")</f>
        <v/>
      </c>
      <c r="D36" s="557" t="str">
        <f>IF(B36="","",ABS(O36))</f>
        <v/>
      </c>
      <c r="E36" s="557"/>
      <c r="F36" s="557"/>
      <c r="G36" s="557"/>
      <c r="H36" s="558" t="str">
        <f>IF(B36="","",IF(O36=0,"",IF(M36&gt;L36,"A Recolher","A Maior")))</f>
        <v/>
      </c>
      <c r="I36" s="558"/>
      <c r="J36" s="558"/>
      <c r="K36" s="420"/>
      <c r="L36" s="230">
        <f>IF(B36="",0,ROUNDDOWN(GRERJFINAL!$D$61/P18,2))</f>
        <v>0</v>
      </c>
      <c r="M36" s="230">
        <f t="shared" si="5"/>
        <v>0</v>
      </c>
      <c r="N36" s="226">
        <f ca="1">GRERJFINAL!$F$61/P18</f>
        <v>0</v>
      </c>
      <c r="O36" s="232">
        <f>ROUNDDOWN(L36-M36,2)</f>
        <v>0</v>
      </c>
      <c r="Q36" s="213">
        <f t="shared" ref="Q36:Q44" si="6">IF(H36="A Recolher",D36,0)</f>
        <v>0</v>
      </c>
      <c r="U36" s="359"/>
    </row>
    <row r="37" spans="1:21" ht="15" x14ac:dyDescent="0.2">
      <c r="B37" s="375" t="str">
        <f>S37</f>
        <v/>
      </c>
      <c r="C37" s="374" t="str">
        <f>IF(B37="","",IF(D37="ERRO","Mais de um distribuidor marcado","Atos dos Distribuidores"))</f>
        <v/>
      </c>
      <c r="D37" s="565">
        <f ca="1">IF(GRERJFINAL!F63="ERRO","ERRO",IF(B37="",0,ABS(O37)))</f>
        <v>0</v>
      </c>
      <c r="E37" s="565"/>
      <c r="F37" s="565"/>
      <c r="G37" s="565"/>
      <c r="H37" s="566" t="str">
        <f ca="1">IF(D37="ERRO","ERRO",IF(B37="","",IF(O37=0,"",IF(M37&gt;L37,"A Recolher","A Maior"))))</f>
        <v/>
      </c>
      <c r="I37" s="566"/>
      <c r="J37" s="566"/>
      <c r="K37" s="420"/>
      <c r="L37" s="230">
        <f>IF(B37="",0,ROUNDDOWN(GRERJFINAL!$D$63/P18,2))</f>
        <v>0</v>
      </c>
      <c r="M37" s="230">
        <f t="shared" si="5"/>
        <v>0</v>
      </c>
      <c r="N37" s="226">
        <f ca="1">GRERJFINAL!$F$63/P18</f>
        <v>0</v>
      </c>
      <c r="O37" s="232">
        <f t="shared" si="4"/>
        <v>0</v>
      </c>
      <c r="Q37" s="213">
        <f t="shared" ca="1" si="6"/>
        <v>0</v>
      </c>
      <c r="S37" s="212" t="str">
        <f>IF('Atos Serv. Jud. Lei. 6369'!$E$505&gt;0,"2102-2",IF('Atos Serv. Jud. Lei. 6369'!$E$507&gt;0,"3071-0024739-1",IF('Atos Serv. Jud. Lei. 6369'!$E$509&gt;0,"0065-0210279-0",IF('Atos Serv. Jud. Lei. 6369'!$E$511,"0445-0137200-9",IF('Atos Serv. Jud. Lei. 6369'!$E$513&gt;0,"1669-0012095-2","")))))</f>
        <v/>
      </c>
    </row>
    <row r="38" spans="1:21" ht="15" x14ac:dyDescent="0.2">
      <c r="B38" s="375" t="str">
        <f>IF('Atos Serv. Jud. Lei. 6369'!$E$505&gt;0,"2701-1",IF('Atos Serv. Jud. Lei. 6369'!$E$507&gt;0,"2702-9",IF('Atos Serv. Jud. Lei. 6369'!$E$509&gt;0,"2703-7",IF('Atos Serv. Jud. Lei. 6369'!$E$511,"2704-5",IF('Atos Serv. Jud. Lei. 6369'!$E$513,"2705-2","")))))</f>
        <v/>
      </c>
      <c r="C38" s="374" t="str">
        <f>IF(B38="","","Distribuidores (Aviso TJ Nº 22/2013)")</f>
        <v/>
      </c>
      <c r="D38" s="557" t="str">
        <f>IF(B38="","",ABS(O38))</f>
        <v/>
      </c>
      <c r="E38" s="557"/>
      <c r="F38" s="557"/>
      <c r="G38" s="557"/>
      <c r="H38" s="558" t="str">
        <f>IF(B38="","",IF(O38=0,"",IF(M38&gt;L38,"A Recolher","A Maior")))</f>
        <v/>
      </c>
      <c r="I38" s="558"/>
      <c r="J38" s="558"/>
      <c r="K38" s="420"/>
      <c r="L38" s="230">
        <f>IF(B38="",0,ROUNDDOWN(GRERJFINAL!$D$65/P18,2))</f>
        <v>0</v>
      </c>
      <c r="M38" s="230">
        <f t="shared" si="5"/>
        <v>0</v>
      </c>
      <c r="N38" s="226">
        <f ca="1">GRERJFINAL!$F$65/P18</f>
        <v>0</v>
      </c>
      <c r="O38" s="232">
        <f>ROUNDDOWN(L38-M38,2)</f>
        <v>0</v>
      </c>
      <c r="Q38" s="213">
        <f t="shared" si="6"/>
        <v>0</v>
      </c>
      <c r="T38" s="359"/>
    </row>
    <row r="39" spans="1:21" ht="15" x14ac:dyDescent="0.2">
      <c r="B39" s="375" t="str">
        <f>S39</f>
        <v/>
      </c>
      <c r="C39" s="374" t="str">
        <f>IF(B39="","",IF(D39="ERRO","Mais de um distribuidor marcado","Atos dos Distribuidores"))</f>
        <v/>
      </c>
      <c r="D39" s="565">
        <f ca="1">IF(GRERJFINAL!F67="ERRO","ERRO",IF(B39="",0,ABS(O39)))</f>
        <v>0</v>
      </c>
      <c r="E39" s="565"/>
      <c r="F39" s="565"/>
      <c r="G39" s="565"/>
      <c r="H39" s="566" t="str">
        <f ca="1">IF(D39="ERRO","ERRO",IF(B39="","",IF(O39=0,"",IF(M39&gt;L39,"A Recolher","A Maior"))))</f>
        <v/>
      </c>
      <c r="I39" s="566"/>
      <c r="J39" s="566"/>
      <c r="K39" s="420"/>
      <c r="L39" s="230">
        <f>IF(B39="",0,ROUNDDOWN(GRERJFINAL!$D$67/P18,2))</f>
        <v>0</v>
      </c>
      <c r="M39" s="230">
        <f t="shared" si="5"/>
        <v>0</v>
      </c>
      <c r="N39" s="226">
        <f ca="1">GRERJFINAL!$F$67/P18</f>
        <v>0</v>
      </c>
      <c r="O39" s="232">
        <f t="shared" si="4"/>
        <v>0</v>
      </c>
      <c r="Q39" s="213">
        <f t="shared" ca="1" si="6"/>
        <v>0</v>
      </c>
      <c r="S39" s="212" t="str">
        <f>IF('Atos Serv. Jud. Lei. 6369'!$E$529&gt;0,"2102-2",IF('Atos Serv. Jud. Lei. 6369'!$E$531&gt;0,"3071-0024739-1",IF('Atos Serv. Jud. Lei. 6369'!$E$533&gt;0,"0065-0210279-0",IF('Atos Serv. Jud. Lei. 6369'!$E$535,"0445-0137200-9",IF('Atos Serv. Jud. Lei. 6369'!$E$537&gt;0,"1669-0012095-2","")))))</f>
        <v/>
      </c>
      <c r="T39" s="359"/>
    </row>
    <row r="40" spans="1:21" ht="15" x14ac:dyDescent="0.2">
      <c r="B40" s="375" t="str">
        <f>IF('Atos Serv. Jud. Lei. 6369'!$E$529&gt;0,"2701-1",IF('Atos Serv. Jud. Lei. 6369'!$E$531&gt;0,"2702-9",IF('Atos Serv. Jud. Lei. 6369'!$E$533&gt;0,"2703-7",IF('Atos Serv. Jud. Lei. 6369'!$E$535,"2704-5",IF('Atos Serv. Jud. Lei. 6369'!$E$537,"2705-2","")))))</f>
        <v/>
      </c>
      <c r="C40" s="374" t="str">
        <f>IF(B40="","","Distribuidores (Aviso TJ Nº 22/2013)")</f>
        <v/>
      </c>
      <c r="D40" s="557" t="str">
        <f>IF(B40="","",ABS(O40))</f>
        <v/>
      </c>
      <c r="E40" s="557"/>
      <c r="F40" s="557"/>
      <c r="G40" s="557"/>
      <c r="H40" s="558" t="str">
        <f>IF(B40="","",IF(O40=0,"",IF(M40&gt;L40,"A Recolher","A Maior")))</f>
        <v/>
      </c>
      <c r="I40" s="558"/>
      <c r="J40" s="558"/>
      <c r="K40" s="420"/>
      <c r="L40" s="230">
        <f>IF(B40="",0,ROUNDDOWN(GRERJFINAL!$D$69/P18,2))</f>
        <v>0</v>
      </c>
      <c r="M40" s="230">
        <f t="shared" si="5"/>
        <v>0</v>
      </c>
      <c r="N40" s="226">
        <f ca="1">GRERJFINAL!$F$69/P18</f>
        <v>0</v>
      </c>
      <c r="O40" s="232">
        <f>ROUNDDOWN(L40-M40,2)</f>
        <v>0</v>
      </c>
      <c r="Q40" s="213">
        <f t="shared" si="6"/>
        <v>0</v>
      </c>
    </row>
    <row r="41" spans="1:21" ht="15" x14ac:dyDescent="0.2">
      <c r="B41" s="377" t="str">
        <f ca="1">IF(D41=0,"","2111-1")</f>
        <v/>
      </c>
      <c r="C41" s="378" t="str">
        <f ca="1">IF(D41=0,"","Multa para Litigância de Má-Fé")</f>
        <v/>
      </c>
      <c r="D41" s="570">
        <f ca="1">ABS(O41)</f>
        <v>0</v>
      </c>
      <c r="E41" s="570"/>
      <c r="F41" s="570"/>
      <c r="G41" s="570"/>
      <c r="H41" s="571" t="str">
        <f ca="1">IF(O41=0,"",IF(M41&gt;L41,"A Recolher","A Maior"))</f>
        <v/>
      </c>
      <c r="I41" s="571"/>
      <c r="J41" s="571"/>
      <c r="K41" s="420"/>
      <c r="L41" s="230">
        <f>ROUNDDOWN(GRERJFINAL!$D$71/P18,2)</f>
        <v>0</v>
      </c>
      <c r="M41" s="230">
        <f ca="1">ROUNDDOWN(N41,2)</f>
        <v>0</v>
      </c>
      <c r="N41" s="226">
        <f ca="1">GRERJFINAL!$F$71/P18</f>
        <v>0</v>
      </c>
      <c r="O41" s="232">
        <f t="shared" ca="1" si="4"/>
        <v>0</v>
      </c>
      <c r="Q41" s="213">
        <f t="shared" ca="1" si="6"/>
        <v>0</v>
      </c>
    </row>
    <row r="42" spans="1:21" ht="15" x14ac:dyDescent="0.2">
      <c r="A42" s="358"/>
      <c r="B42" s="379" t="str">
        <f ca="1">IF(D42=0,"","2210-3")</f>
        <v/>
      </c>
      <c r="C42" s="360" t="str">
        <f ca="1">IF(D42=0,"","Reembolso de Auxílio Pericial")</f>
        <v/>
      </c>
      <c r="D42" s="572">
        <f ca="1">ABS(O42)</f>
        <v>0</v>
      </c>
      <c r="E42" s="573"/>
      <c r="F42" s="573"/>
      <c r="G42" s="574"/>
      <c r="H42" s="575" t="str">
        <f ca="1">IF(O42=0,"",IF(M42&gt;L42,"A Recolher","A Maior"))</f>
        <v/>
      </c>
      <c r="I42" s="576"/>
      <c r="J42" s="577"/>
      <c r="K42" s="420"/>
      <c r="L42" s="230">
        <f>ROUNDDOWN(GRERJFINAL!$D$73/P18,2)</f>
        <v>0</v>
      </c>
      <c r="M42" s="230">
        <f ca="1">ROUNDDOWN(N42,2)</f>
        <v>0</v>
      </c>
      <c r="N42" s="226">
        <f ca="1">GRERJFINAL!$F$73/P18</f>
        <v>0</v>
      </c>
      <c r="O42" s="232">
        <f t="shared" ca="1" si="4"/>
        <v>0</v>
      </c>
      <c r="Q42" s="213">
        <f t="shared" ca="1" si="6"/>
        <v>0</v>
      </c>
      <c r="S42" s="359"/>
    </row>
    <row r="43" spans="1:21" ht="15" x14ac:dyDescent="0.2">
      <c r="A43" s="358"/>
      <c r="B43" s="389" t="str">
        <f ca="1">IF(D43=0,"","2212-9")</f>
        <v/>
      </c>
      <c r="C43" s="360" t="str">
        <f ca="1">IF(D43=0,"","Diversos")</f>
        <v/>
      </c>
      <c r="D43" s="572">
        <f ca="1">ABS(O43)</f>
        <v>0</v>
      </c>
      <c r="E43" s="573"/>
      <c r="F43" s="573"/>
      <c r="G43" s="574"/>
      <c r="H43" s="598" t="str">
        <f ca="1">IF(O43=0,"",IF(M43&gt;L43,"A Recolher","A Maior"))</f>
        <v/>
      </c>
      <c r="I43" s="599"/>
      <c r="J43" s="600"/>
      <c r="K43" s="420"/>
      <c r="L43" s="230">
        <f>ROUNDDOWN(GRERJFINAL!$D$75/P18,2)</f>
        <v>0</v>
      </c>
      <c r="M43" s="230">
        <f ca="1">ROUNDDOWN(N43,2)</f>
        <v>0</v>
      </c>
      <c r="N43" s="226">
        <f ca="1">GRERJFINAL!$F$75/P18</f>
        <v>0</v>
      </c>
      <c r="O43" s="232">
        <f t="shared" ca="1" si="4"/>
        <v>0</v>
      </c>
      <c r="Q43" s="213">
        <f t="shared" ca="1" si="6"/>
        <v>0</v>
      </c>
      <c r="S43" s="359"/>
    </row>
    <row r="44" spans="1:21" ht="15.75" thickBot="1" x14ac:dyDescent="0.25">
      <c r="A44" s="359"/>
      <c r="B44" s="389" t="str">
        <f ca="1">IF(D44=0,"","6246-0088011-6")</f>
        <v/>
      </c>
      <c r="C44" s="360" t="str">
        <f ca="1">IF(D44=0,"","Mediação/Conciliação")</f>
        <v/>
      </c>
      <c r="D44" s="572">
        <f ca="1">ABS(O44)</f>
        <v>0</v>
      </c>
      <c r="E44" s="573"/>
      <c r="F44" s="573"/>
      <c r="G44" s="574"/>
      <c r="H44" s="598" t="str">
        <f ca="1">IF(O44=0,"",IF(M44&gt;L44,"A Recolher","A Maior"))</f>
        <v/>
      </c>
      <c r="I44" s="599"/>
      <c r="J44" s="600"/>
      <c r="K44" s="420"/>
      <c r="L44" s="230">
        <f>ROUNDDOWN(GRERJFINAL!$D$77/P18,2)</f>
        <v>0</v>
      </c>
      <c r="M44" s="230">
        <f ca="1">ROUNDDOWN(N44,2)</f>
        <v>0</v>
      </c>
      <c r="N44" s="226">
        <f ca="1">GRERJFINAL!$F$77/P18</f>
        <v>0</v>
      </c>
      <c r="O44" s="232">
        <f t="shared" ca="1" si="4"/>
        <v>0</v>
      </c>
      <c r="Q44" s="213">
        <f t="shared" ca="1" si="6"/>
        <v>0</v>
      </c>
      <c r="S44" s="359"/>
    </row>
    <row r="45" spans="1:21" ht="15.75" thickBot="1" x14ac:dyDescent="0.25">
      <c r="B45" s="384"/>
      <c r="C45" s="237" t="s">
        <v>366</v>
      </c>
      <c r="D45" s="579">
        <f ca="1">Q45</f>
        <v>0</v>
      </c>
      <c r="E45" s="579"/>
      <c r="F45" s="579"/>
      <c r="G45" s="579"/>
      <c r="H45" s="580"/>
      <c r="I45" s="580"/>
      <c r="J45" s="580"/>
      <c r="K45" s="2"/>
      <c r="L45" s="238"/>
      <c r="M45" s="238"/>
      <c r="N45" s="239"/>
      <c r="O45" s="240"/>
      <c r="Q45" s="213">
        <f ca="1">SUM(Q18:Q44)</f>
        <v>0</v>
      </c>
    </row>
    <row r="46" spans="1:21" ht="6" customHeight="1" x14ac:dyDescent="0.2">
      <c r="B46" s="1"/>
      <c r="C46" s="1"/>
      <c r="D46" s="420"/>
      <c r="E46" s="420"/>
      <c r="F46" s="420"/>
      <c r="G46" s="420"/>
      <c r="H46" s="420"/>
      <c r="I46" s="420"/>
      <c r="J46" s="420"/>
      <c r="K46" s="420"/>
      <c r="L46" s="420"/>
      <c r="M46" s="420"/>
    </row>
    <row r="47" spans="1:21" ht="15" x14ac:dyDescent="0.2">
      <c r="B47" s="173" t="s">
        <v>367</v>
      </c>
      <c r="C47" s="216" t="s">
        <v>368</v>
      </c>
      <c r="D47" s="581"/>
      <c r="E47" s="581"/>
      <c r="F47" s="581"/>
      <c r="G47" s="581"/>
      <c r="H47" s="581"/>
      <c r="I47" s="581"/>
      <c r="J47" s="581"/>
      <c r="K47" s="581"/>
    </row>
    <row r="49" spans="1:21" ht="39.75" customHeight="1" x14ac:dyDescent="0.2">
      <c r="B49" s="241" t="s">
        <v>299</v>
      </c>
      <c r="C49" s="242" t="s">
        <v>300</v>
      </c>
      <c r="D49" s="582" t="s">
        <v>359</v>
      </c>
      <c r="E49" s="582"/>
      <c r="F49" s="582"/>
      <c r="G49" s="582"/>
      <c r="H49" s="583" t="s">
        <v>360</v>
      </c>
      <c r="I49" s="583"/>
      <c r="J49" s="583"/>
      <c r="K49" s="229"/>
      <c r="L49" s="229" t="s">
        <v>361</v>
      </c>
      <c r="M49" s="229" t="s">
        <v>362</v>
      </c>
    </row>
    <row r="50" spans="1:21" ht="15" x14ac:dyDescent="0.2">
      <c r="B50" s="380" t="s">
        <v>337</v>
      </c>
      <c r="C50" s="381" t="s">
        <v>338</v>
      </c>
      <c r="D50" s="584">
        <f ca="1">ABS(O50)</f>
        <v>0</v>
      </c>
      <c r="E50" s="584"/>
      <c r="F50" s="584"/>
      <c r="G50" s="584"/>
      <c r="H50" s="569" t="str">
        <f ca="1">IF(O50=0,"",IF(M50&gt;L50,"A Recolher","A Maior"))</f>
        <v/>
      </c>
      <c r="I50" s="569"/>
      <c r="J50" s="569"/>
      <c r="K50" s="420"/>
      <c r="L50" s="230">
        <f>ROUNDDOWN(GRERJFINAL!$D$82/P18,2)</f>
        <v>0</v>
      </c>
      <c r="M50" s="230">
        <f ca="1">ROUNDDOWN(N50,2)</f>
        <v>0</v>
      </c>
      <c r="N50" s="239">
        <f ca="1">GRERJFINAL!$F$82/P18</f>
        <v>0</v>
      </c>
      <c r="O50" s="243">
        <f ca="1">ROUNDDOWN(L50-M50,2)</f>
        <v>0</v>
      </c>
      <c r="Q50" s="213">
        <f ca="1">IF(H50="A Recolher",D50,0)</f>
        <v>0</v>
      </c>
    </row>
    <row r="51" spans="1:21" ht="15" x14ac:dyDescent="0.2">
      <c r="B51" s="381" t="s">
        <v>307</v>
      </c>
      <c r="C51" s="381" t="s">
        <v>308</v>
      </c>
      <c r="D51" s="578">
        <f ca="1">ABS(O51)</f>
        <v>0</v>
      </c>
      <c r="E51" s="578"/>
      <c r="F51" s="578"/>
      <c r="G51" s="578"/>
      <c r="H51" s="558" t="str">
        <f ca="1">IF(O51=0,"",IF(M51&gt;L51,"A Recolher","A Maior"))</f>
        <v/>
      </c>
      <c r="I51" s="558"/>
      <c r="J51" s="558"/>
      <c r="K51" s="420"/>
      <c r="L51" s="230">
        <f>ROUNDDOWN(GRERJFINAL!$D$84/P18,2)</f>
        <v>0</v>
      </c>
      <c r="M51" s="230">
        <f ca="1">ROUNDDOWN(N51,2)</f>
        <v>0</v>
      </c>
      <c r="N51" s="239">
        <f ca="1">GRERJFINAL!$F$84/P18</f>
        <v>0</v>
      </c>
      <c r="O51" s="243">
        <f ca="1">ROUNDDOWN(L51-M51,2)</f>
        <v>0</v>
      </c>
      <c r="Q51" s="213">
        <f ca="1">IF(H51="A Recolher",D51,0)</f>
        <v>0</v>
      </c>
    </row>
    <row r="52" spans="1:21" ht="15" x14ac:dyDescent="0.2">
      <c r="B52" s="382" t="s">
        <v>317</v>
      </c>
      <c r="C52" s="382" t="s">
        <v>318</v>
      </c>
      <c r="D52" s="578">
        <f ca="1">Q52</f>
        <v>0</v>
      </c>
      <c r="E52" s="578"/>
      <c r="F52" s="578"/>
      <c r="G52" s="578"/>
      <c r="H52" s="558" t="str">
        <f ca="1">IF(D52=0,"",IF(D52="","","A Recolher"))</f>
        <v/>
      </c>
      <c r="I52" s="558"/>
      <c r="J52" s="558"/>
      <c r="K52" s="420"/>
      <c r="L52" s="230"/>
      <c r="M52" s="230"/>
      <c r="N52" s="239"/>
      <c r="O52" s="243"/>
      <c r="Q52" s="213">
        <f ca="1">ROUNDDOWN(SUM(Q50:Q51)*0.1,2)</f>
        <v>0</v>
      </c>
    </row>
    <row r="53" spans="1:21" ht="15" x14ac:dyDescent="0.2">
      <c r="B53" s="382" t="s">
        <v>364</v>
      </c>
      <c r="C53" s="382" t="s">
        <v>326</v>
      </c>
      <c r="D53" s="578">
        <f ca="1">Q53</f>
        <v>0</v>
      </c>
      <c r="E53" s="578"/>
      <c r="F53" s="578"/>
      <c r="G53" s="578"/>
      <c r="H53" s="558" t="str">
        <f ca="1">IF(D53=0,"",IF(D53="","","A Recolher"))</f>
        <v/>
      </c>
      <c r="I53" s="558"/>
      <c r="J53" s="558"/>
      <c r="K53" s="420"/>
      <c r="L53" s="230"/>
      <c r="M53" s="230"/>
      <c r="N53" s="239"/>
      <c r="O53" s="243"/>
      <c r="Q53" s="213">
        <f ca="1">ROUNDDOWN(SUM(Q50:Q51)*0.05,2)</f>
        <v>0</v>
      </c>
    </row>
    <row r="54" spans="1:21" ht="15.75" thickBot="1" x14ac:dyDescent="0.25">
      <c r="B54" s="363" t="s">
        <v>365</v>
      </c>
      <c r="C54" s="383" t="s">
        <v>328</v>
      </c>
      <c r="D54" s="586">
        <f ca="1">D53</f>
        <v>0</v>
      </c>
      <c r="E54" s="586"/>
      <c r="F54" s="586"/>
      <c r="G54" s="586"/>
      <c r="H54" s="558" t="str">
        <f ca="1">IF(D54=0,"",IF(D54="","","A Recolher"))</f>
        <v/>
      </c>
      <c r="I54" s="558"/>
      <c r="J54" s="558"/>
      <c r="K54" s="420"/>
      <c r="L54" s="230"/>
      <c r="M54" s="230"/>
      <c r="N54" s="239"/>
      <c r="O54" s="243"/>
      <c r="Q54" s="213">
        <f ca="1">IF(H54="A Recolher",D54,0)</f>
        <v>0</v>
      </c>
    </row>
    <row r="55" spans="1:21" ht="15.75" thickBot="1" x14ac:dyDescent="0.25">
      <c r="B55" s="384"/>
      <c r="C55" s="385" t="s">
        <v>366</v>
      </c>
      <c r="D55" s="587">
        <f ca="1">Q55</f>
        <v>0</v>
      </c>
      <c r="E55" s="587"/>
      <c r="F55" s="587"/>
      <c r="G55" s="587"/>
      <c r="H55" s="588"/>
      <c r="I55" s="588"/>
      <c r="J55" s="588"/>
      <c r="K55" s="230"/>
      <c r="L55" s="420"/>
      <c r="M55" s="420"/>
      <c r="N55" s="239"/>
      <c r="O55" s="240"/>
      <c r="Q55" s="213">
        <f ca="1">SUM(Q50:Q54)</f>
        <v>0</v>
      </c>
    </row>
    <row r="56" spans="1:21" ht="6" customHeight="1" x14ac:dyDescent="0.2">
      <c r="B56" s="4"/>
      <c r="C56" s="4"/>
      <c r="D56" s="5"/>
      <c r="E56" s="5"/>
      <c r="F56" s="5"/>
      <c r="G56" s="5"/>
      <c r="H56" s="5"/>
      <c r="I56" s="5"/>
      <c r="J56" s="5"/>
      <c r="K56" s="5"/>
      <c r="L56" s="4"/>
      <c r="M56" s="4"/>
    </row>
    <row r="57" spans="1:21" ht="15" x14ac:dyDescent="0.2">
      <c r="B57" s="245" t="s">
        <v>369</v>
      </c>
      <c r="C57" s="589">
        <f ca="1">TODAY()</f>
        <v>43209</v>
      </c>
      <c r="D57" s="589"/>
      <c r="E57" s="589"/>
      <c r="F57" s="589"/>
      <c r="G57" s="589"/>
      <c r="H57" s="589"/>
      <c r="I57" s="589"/>
      <c r="J57" s="589"/>
      <c r="K57" s="246"/>
      <c r="L57" s="246"/>
      <c r="M57" s="246"/>
      <c r="N57" s="246"/>
      <c r="O57" s="246"/>
      <c r="P57" s="246"/>
      <c r="Q57" s="238"/>
      <c r="R57" s="246"/>
      <c r="S57" s="246"/>
      <c r="T57" s="246"/>
      <c r="U57" s="246"/>
    </row>
    <row r="58" spans="1:21" ht="15" x14ac:dyDescent="0.2">
      <c r="B58" s="245"/>
      <c r="C58" s="245"/>
      <c r="D58" s="421"/>
      <c r="E58" s="421"/>
      <c r="F58" s="421"/>
      <c r="G58" s="421"/>
      <c r="H58" s="421"/>
      <c r="I58" s="421"/>
      <c r="J58" s="421"/>
      <c r="K58" s="421"/>
      <c r="L58" s="246"/>
      <c r="M58" s="246"/>
      <c r="N58" s="246"/>
      <c r="O58" s="246"/>
      <c r="P58" s="246"/>
      <c r="Q58" s="238"/>
      <c r="R58" s="246"/>
      <c r="S58" s="246"/>
      <c r="T58" s="246"/>
    </row>
    <row r="59" spans="1:21" ht="15" x14ac:dyDescent="0.2">
      <c r="A59" s="585" t="str">
        <f>IF('Atos Serv. Jud. Lei. 6369'!$H$9="","NOME",('Atos Serv. Jud. Lei. 6369'!$H$9))</f>
        <v>NOME</v>
      </c>
      <c r="B59" s="585"/>
      <c r="C59" s="585"/>
      <c r="D59" s="585"/>
      <c r="E59" s="585"/>
      <c r="F59" s="585"/>
      <c r="G59" s="585"/>
      <c r="H59" s="585"/>
      <c r="I59" s="585"/>
      <c r="J59" s="585"/>
      <c r="K59" s="585"/>
      <c r="L59" s="585"/>
      <c r="M59" s="585"/>
      <c r="N59" s="585"/>
      <c r="O59" s="585"/>
      <c r="P59" s="585"/>
      <c r="Q59" s="585"/>
      <c r="R59" s="585"/>
    </row>
    <row r="60" spans="1:21" ht="15" x14ac:dyDescent="0.2">
      <c r="A60" s="585" t="str">
        <f>IF('Atos Serv. Jud. Lei. 6369'!$H$11="","MATRÍCULA",'Atos Serv. Jud. Lei. 6369'!$H$11)</f>
        <v>MATRÍCULA</v>
      </c>
      <c r="B60" s="585"/>
      <c r="C60" s="585"/>
      <c r="D60" s="585"/>
      <c r="E60" s="585"/>
      <c r="F60" s="585"/>
      <c r="G60" s="585"/>
      <c r="H60" s="585"/>
      <c r="I60" s="585"/>
      <c r="J60" s="585"/>
      <c r="K60" s="585"/>
      <c r="L60" s="484"/>
      <c r="M60" s="484"/>
    </row>
    <row r="61" spans="1:21" ht="15" x14ac:dyDescent="0.2">
      <c r="L61" s="420"/>
      <c r="M61" s="420"/>
    </row>
    <row r="62" spans="1:21" ht="15" x14ac:dyDescent="0.2">
      <c r="A62" s="590"/>
      <c r="B62" s="590"/>
      <c r="C62" s="590"/>
      <c r="D62" s="590"/>
      <c r="E62" s="590"/>
      <c r="F62" s="590"/>
      <c r="G62" s="590"/>
      <c r="H62" s="590"/>
      <c r="I62" s="590"/>
      <c r="J62" s="590"/>
      <c r="K62" s="590"/>
      <c r="L62" s="590"/>
      <c r="M62" s="590"/>
      <c r="N62" s="590"/>
      <c r="O62" s="590"/>
      <c r="P62" s="590"/>
      <c r="Q62" s="590"/>
      <c r="R62" s="590"/>
    </row>
    <row r="63" spans="1:21" ht="12" customHeight="1" x14ac:dyDescent="0.2">
      <c r="B63" s="173" t="s">
        <v>349</v>
      </c>
    </row>
    <row r="64" spans="1:21" ht="10.5" customHeight="1" x14ac:dyDescent="0.2">
      <c r="B64" s="173" t="s">
        <v>350</v>
      </c>
      <c r="R64" s="214"/>
    </row>
    <row r="65" spans="1:18" ht="10.5" customHeight="1" x14ac:dyDescent="0.2">
      <c r="B65" s="173" t="s">
        <v>351</v>
      </c>
      <c r="R65" s="214"/>
    </row>
    <row r="66" spans="1:18" ht="10.5" customHeight="1" x14ac:dyDescent="0.2">
      <c r="B66" s="173" t="s">
        <v>352</v>
      </c>
      <c r="R66" s="214"/>
    </row>
    <row r="67" spans="1:18" ht="10.5" customHeight="1" x14ac:dyDescent="0.2">
      <c r="B67" s="173" t="s">
        <v>353</v>
      </c>
      <c r="R67" s="214"/>
    </row>
    <row r="68" spans="1:18" s="173" customFormat="1" ht="11.25" customHeight="1" x14ac:dyDescent="0.2">
      <c r="B68" s="173" t="s">
        <v>354</v>
      </c>
      <c r="Q68" s="215"/>
    </row>
    <row r="69" spans="1:18" ht="11.25" customHeight="1" x14ac:dyDescent="0.2">
      <c r="B69" s="173" t="s">
        <v>355</v>
      </c>
    </row>
    <row r="70" spans="1:18" ht="6" customHeight="1" x14ac:dyDescent="0.2">
      <c r="J70" s="214"/>
      <c r="K70" s="214"/>
    </row>
    <row r="71" spans="1:18" ht="15" x14ac:dyDescent="0.2">
      <c r="A71" s="216" t="s">
        <v>356</v>
      </c>
      <c r="B71" s="217" t="str">
        <f>IF('Atos Serv. Jud. Lei. 6369'!$H$7=0,"",'Atos Serv. Jud. Lei. 6369'!$H$7)</f>
        <v/>
      </c>
      <c r="E71" s="218"/>
      <c r="F71" s="218"/>
      <c r="G71" s="218"/>
      <c r="H71" s="218"/>
      <c r="I71" s="218"/>
      <c r="J71" s="218"/>
      <c r="K71" s="218"/>
      <c r="L71" s="218"/>
    </row>
    <row r="72" spans="1:18" ht="6" customHeight="1" x14ac:dyDescent="0.2">
      <c r="A72" s="216"/>
      <c r="B72" s="219"/>
      <c r="C72" s="220"/>
      <c r="D72" s="220"/>
      <c r="E72" s="220"/>
      <c r="F72" s="221"/>
      <c r="G72" s="220"/>
      <c r="H72" s="221"/>
      <c r="I72" s="220"/>
      <c r="J72" s="218"/>
      <c r="K72" s="218"/>
    </row>
    <row r="73" spans="1:18" ht="18" x14ac:dyDescent="0.25">
      <c r="A73" s="559" t="s">
        <v>357</v>
      </c>
      <c r="B73" s="559"/>
      <c r="C73" s="559"/>
      <c r="D73" s="559"/>
      <c r="E73" s="559"/>
      <c r="F73" s="559"/>
      <c r="G73" s="559"/>
      <c r="H73" s="559"/>
      <c r="I73" s="559"/>
      <c r="J73" s="559"/>
      <c r="K73" s="559"/>
      <c r="L73" s="419"/>
      <c r="M73" s="222"/>
      <c r="N73" s="222"/>
      <c r="O73" s="222"/>
      <c r="P73" s="222"/>
    </row>
    <row r="75" spans="1:18" ht="15" x14ac:dyDescent="0.2">
      <c r="B75" s="223" t="s">
        <v>358</v>
      </c>
      <c r="C75" s="223"/>
      <c r="E75" s="223"/>
      <c r="F75" s="223"/>
      <c r="H75" s="224"/>
      <c r="I75" s="224"/>
      <c r="J75" s="224"/>
      <c r="K75" s="224"/>
      <c r="L75" s="224"/>
    </row>
    <row r="76" spans="1:18" ht="15.75" x14ac:dyDescent="0.25">
      <c r="A76" s="216"/>
      <c r="B76" s="225">
        <f>GRERJFINAL!C11</f>
        <v>0</v>
      </c>
      <c r="C76" s="216"/>
      <c r="D76" s="218"/>
      <c r="E76" s="223"/>
      <c r="F76" s="223"/>
      <c r="H76" s="224"/>
      <c r="I76" s="224"/>
      <c r="J76" s="224"/>
      <c r="K76" s="224"/>
      <c r="L76" s="224"/>
    </row>
    <row r="77" spans="1:18" ht="15" x14ac:dyDescent="0.2">
      <c r="B77" s="560" t="str">
        <f>IF(GRERJFINAL!$P$9&lt;2,"","Valores corrigidos na proporção de")</f>
        <v/>
      </c>
      <c r="C77" s="560"/>
      <c r="D77" s="226" t="str">
        <f>IF(GRERJFINAL!$P$9&lt;2,"",IF(GRERJFINAL!G11="",O77,GRERJFINAL!G11))</f>
        <v/>
      </c>
      <c r="E77" s="212" t="str">
        <f>IF(GRERJFINAL!$P$9&lt;2,"","%")</f>
        <v/>
      </c>
      <c r="N77" s="213"/>
      <c r="O77" s="216" t="e">
        <f>IF(GRERJFINAL!G11="",ROUND(100/GRERJFINAL!$P$9,2),GRERJFINAL!G11)</f>
        <v>#DIV/0!</v>
      </c>
    </row>
    <row r="79" spans="1:18" ht="36.75" customHeight="1" x14ac:dyDescent="0.2">
      <c r="B79" s="227" t="s">
        <v>299</v>
      </c>
      <c r="C79" s="228" t="s">
        <v>300</v>
      </c>
      <c r="D79" s="561" t="s">
        <v>359</v>
      </c>
      <c r="E79" s="561"/>
      <c r="F79" s="561"/>
      <c r="G79" s="561"/>
      <c r="H79" s="562" t="s">
        <v>360</v>
      </c>
      <c r="I79" s="562"/>
      <c r="J79" s="562"/>
      <c r="K79" s="229"/>
      <c r="L79" s="229" t="s">
        <v>361</v>
      </c>
      <c r="M79" s="229" t="s">
        <v>362</v>
      </c>
      <c r="N79" s="214"/>
    </row>
    <row r="80" spans="1:18" ht="15" x14ac:dyDescent="0.2">
      <c r="B80" s="361" t="s">
        <v>304</v>
      </c>
      <c r="C80" s="362" t="s">
        <v>363</v>
      </c>
      <c r="D80" s="563">
        <f t="shared" ref="D80:D85" ca="1" si="7">ABS(O80)</f>
        <v>0</v>
      </c>
      <c r="E80" s="563"/>
      <c r="F80" s="563"/>
      <c r="G80" s="563"/>
      <c r="H80" s="564" t="str">
        <f t="shared" ref="H80:H85" ca="1" si="8">IF(O80=0,"",IF(M80&gt;L80,"A Recolher","A Maior"))</f>
        <v/>
      </c>
      <c r="I80" s="564"/>
      <c r="J80" s="564"/>
      <c r="K80" s="420"/>
      <c r="L80" s="230">
        <f>ROUNDDOWN(GRERJFINAL!$D$24/P80,2)</f>
        <v>0</v>
      </c>
      <c r="M80" s="230">
        <f t="shared" ref="M80:M85" ca="1" si="9">ROUNDDOWN(N80,2)</f>
        <v>0</v>
      </c>
      <c r="N80" s="231">
        <f ca="1">GRERJFINAL!$F$24/P80</f>
        <v>0</v>
      </c>
      <c r="O80" s="232">
        <f t="shared" ref="O80:O87" ca="1" si="10">ROUNDDOWN(L80-M80,2)</f>
        <v>0</v>
      </c>
      <c r="P80" s="212">
        <f>IF(GRERJFINAL!C11="",10000000000,IF(GRERJFINAL!G11="",GRERJFINAL!$P$9,100/GRERJFINAL!G11))</f>
        <v>10000000000</v>
      </c>
      <c r="Q80" s="213">
        <f t="shared" ref="Q80:Q87" ca="1" si="11">IF(H80="A Recolher",D80,0)</f>
        <v>0</v>
      </c>
    </row>
    <row r="81" spans="1:21" ht="15" x14ac:dyDescent="0.2">
      <c r="B81" s="363" t="s">
        <v>307</v>
      </c>
      <c r="C81" s="364" t="s">
        <v>308</v>
      </c>
      <c r="D81" s="557">
        <f t="shared" ca="1" si="7"/>
        <v>0</v>
      </c>
      <c r="E81" s="557"/>
      <c r="F81" s="557"/>
      <c r="G81" s="557"/>
      <c r="H81" s="558" t="str">
        <f t="shared" ca="1" si="8"/>
        <v/>
      </c>
      <c r="I81" s="558"/>
      <c r="J81" s="558"/>
      <c r="K81" s="420"/>
      <c r="L81" s="230">
        <f>ROUNDDOWN(GRERJFINAL!$D$26/P80,2)</f>
        <v>0</v>
      </c>
      <c r="M81" s="230">
        <f t="shared" ca="1" si="9"/>
        <v>0</v>
      </c>
      <c r="N81" s="233">
        <f ca="1">GRERJFINAL!$F$26/P80</f>
        <v>0</v>
      </c>
      <c r="O81" s="232">
        <f t="shared" ca="1" si="10"/>
        <v>0</v>
      </c>
      <c r="Q81" s="213">
        <f t="shared" ca="1" si="11"/>
        <v>0</v>
      </c>
    </row>
    <row r="82" spans="1:21" ht="15" x14ac:dyDescent="0.2">
      <c r="B82" s="363" t="s">
        <v>309</v>
      </c>
      <c r="C82" s="364" t="s">
        <v>310</v>
      </c>
      <c r="D82" s="557">
        <f t="shared" ca="1" si="7"/>
        <v>0</v>
      </c>
      <c r="E82" s="557"/>
      <c r="F82" s="557"/>
      <c r="G82" s="557"/>
      <c r="H82" s="558" t="str">
        <f t="shared" ca="1" si="8"/>
        <v/>
      </c>
      <c r="I82" s="558"/>
      <c r="J82" s="558"/>
      <c r="K82" s="420"/>
      <c r="L82" s="230">
        <f>ROUNDDOWN(GRERJFINAL!$D$28/P80,2)</f>
        <v>0</v>
      </c>
      <c r="M82" s="230">
        <f t="shared" ca="1" si="9"/>
        <v>0</v>
      </c>
      <c r="N82" s="231">
        <f ca="1">GRERJFINAL!$F$28/P80</f>
        <v>0</v>
      </c>
      <c r="O82" s="232">
        <f t="shared" ca="1" si="10"/>
        <v>0</v>
      </c>
      <c r="Q82" s="213">
        <f t="shared" ca="1" si="11"/>
        <v>0</v>
      </c>
    </row>
    <row r="83" spans="1:21" ht="15" x14ac:dyDescent="0.2">
      <c r="B83" s="363" t="s">
        <v>311</v>
      </c>
      <c r="C83" s="364" t="s">
        <v>312</v>
      </c>
      <c r="D83" s="557">
        <f t="shared" ca="1" si="7"/>
        <v>0</v>
      </c>
      <c r="E83" s="557"/>
      <c r="F83" s="557"/>
      <c r="G83" s="557"/>
      <c r="H83" s="558" t="str">
        <f t="shared" ca="1" si="8"/>
        <v/>
      </c>
      <c r="I83" s="558"/>
      <c r="J83" s="558"/>
      <c r="K83" s="420"/>
      <c r="L83" s="230">
        <f>ROUNDDOWN(GRERJFINAL!$D$30/P80,2)</f>
        <v>0</v>
      </c>
      <c r="M83" s="230">
        <f t="shared" ca="1" si="9"/>
        <v>0</v>
      </c>
      <c r="N83" s="233">
        <f ca="1">GRERJFINAL!$F$30/P80</f>
        <v>0</v>
      </c>
      <c r="O83" s="232">
        <f t="shared" ca="1" si="10"/>
        <v>0</v>
      </c>
      <c r="Q83" s="213">
        <f t="shared" ca="1" si="11"/>
        <v>0</v>
      </c>
    </row>
    <row r="84" spans="1:21" ht="15" x14ac:dyDescent="0.2">
      <c r="B84" s="363" t="s">
        <v>313</v>
      </c>
      <c r="C84" s="364" t="s">
        <v>314</v>
      </c>
      <c r="D84" s="557">
        <f t="shared" ca="1" si="7"/>
        <v>0</v>
      </c>
      <c r="E84" s="557"/>
      <c r="F84" s="557"/>
      <c r="G84" s="557"/>
      <c r="H84" s="558" t="str">
        <f t="shared" ca="1" si="8"/>
        <v/>
      </c>
      <c r="I84" s="558"/>
      <c r="J84" s="558"/>
      <c r="K84" s="420"/>
      <c r="L84" s="230">
        <f>ROUNDDOWN(GRERJFINAL!$D$33/P80,2)</f>
        <v>0</v>
      </c>
      <c r="M84" s="230">
        <f t="shared" ca="1" si="9"/>
        <v>0</v>
      </c>
      <c r="N84" s="233">
        <f ca="1">GRERJFINAL!$F$33/P80</f>
        <v>0</v>
      </c>
      <c r="O84" s="232">
        <f t="shared" ca="1" si="10"/>
        <v>0</v>
      </c>
      <c r="Q84" s="213">
        <f t="shared" ca="1" si="11"/>
        <v>0</v>
      </c>
    </row>
    <row r="85" spans="1:21" ht="15" x14ac:dyDescent="0.2">
      <c r="B85" s="363" t="s">
        <v>315</v>
      </c>
      <c r="C85" s="364" t="s">
        <v>316</v>
      </c>
      <c r="D85" s="557">
        <f t="shared" ca="1" si="7"/>
        <v>0</v>
      </c>
      <c r="E85" s="557"/>
      <c r="F85" s="557"/>
      <c r="G85" s="557"/>
      <c r="H85" s="558" t="str">
        <f t="shared" ca="1" si="8"/>
        <v/>
      </c>
      <c r="I85" s="558"/>
      <c r="J85" s="558"/>
      <c r="K85" s="420"/>
      <c r="L85" s="230">
        <f>ROUNDDOWN(GRERJFINAL!$D$35/P80,2)</f>
        <v>0</v>
      </c>
      <c r="M85" s="230">
        <f t="shared" ca="1" si="9"/>
        <v>0</v>
      </c>
      <c r="N85" s="231">
        <f ca="1">GRERJFINAL!$F$35/P80</f>
        <v>0</v>
      </c>
      <c r="O85" s="232">
        <f t="shared" ca="1" si="10"/>
        <v>0</v>
      </c>
      <c r="Q85" s="213">
        <f t="shared" ca="1" si="11"/>
        <v>0</v>
      </c>
    </row>
    <row r="86" spans="1:21" ht="15" customHeight="1" x14ac:dyDescent="0.2">
      <c r="B86" s="363" t="str">
        <f>IF('Atos Serv. Jud. Lei. 6369'!$O$299&gt;1,"ERRO",IF('Atos Serv. Jud. Lei. 6369'!$O$299=0,"",IF('Atos Serv. Jud. Lei. 6369'!$F$318=1,"1108-0",IF('Atos Serv. Jud. Lei. 6369'!$F$314=1,"1114-0","1108-0"))))</f>
        <v/>
      </c>
      <c r="C86" s="365" t="str">
        <f>IF('Atos Serv. Jud. Lei. 6369'!$O$299&gt;1,"ERRO",IF('Atos Serv. Jud. Lei. 6369'!$O$299=0,"",IF('Atos Serv. Jud. Lei. 6369'!$F$318=1,"Avaliação por Oficial de Justiça",IF('Atos Serv. Jud. Lei. 6369'!$F$314=1,"Central de Avaliadores da Capital","Atos dos Avaliadores Judiciais"))))</f>
        <v/>
      </c>
      <c r="D86" s="557" t="str">
        <f>IF(B86="","",ABS(O86))</f>
        <v/>
      </c>
      <c r="E86" s="557"/>
      <c r="F86" s="557"/>
      <c r="G86" s="557"/>
      <c r="H86" s="558" t="str">
        <f>IF(B86="","",IF(O86=0,"",IF(M86&gt;L86,"A Recolher","A Maior")))</f>
        <v/>
      </c>
      <c r="I86" s="558"/>
      <c r="J86" s="558"/>
      <c r="K86" s="234"/>
      <c r="L86" s="235">
        <f>IF(B86="",0,ROUNDDOWN(GRERJFINAL!$D$37/P80,2))</f>
        <v>0</v>
      </c>
      <c r="M86" s="235">
        <f>IF(B86="",0,ROUNDDOWN(N86,2))</f>
        <v>0</v>
      </c>
      <c r="N86" s="231">
        <f ca="1">GRERJFINAL!$F$37/P80</f>
        <v>0</v>
      </c>
      <c r="O86" s="232">
        <f t="shared" si="10"/>
        <v>0</v>
      </c>
      <c r="Q86" s="213">
        <f t="shared" si="11"/>
        <v>0</v>
      </c>
    </row>
    <row r="87" spans="1:21" ht="15" x14ac:dyDescent="0.2">
      <c r="B87" s="363" t="str">
        <f>IF(GRERJFINAL!$C$39="Avaliador Judicial",GRERJFINAL!$B$39,"")</f>
        <v/>
      </c>
      <c r="C87" s="364" t="str">
        <f>IF('Atos Serv. Jud. Lei. 6369'!$O$299&gt;1,"ERRO",IF('Atos Serv. Jud. Lei. 6369'!$F$316=1,"Avaliador Judicial",""))</f>
        <v/>
      </c>
      <c r="D87" s="557" t="str">
        <f>IF(B87="","",ABS(O87))</f>
        <v/>
      </c>
      <c r="E87" s="557"/>
      <c r="F87" s="557"/>
      <c r="G87" s="557"/>
      <c r="H87" s="558" t="str">
        <f>IF(B87="","",IF(O87=0,"",IF(M87&gt;L87,"A Recolher","A Maior")))</f>
        <v/>
      </c>
      <c r="I87" s="558"/>
      <c r="J87" s="558"/>
      <c r="K87" s="420"/>
      <c r="L87" s="230">
        <f>IF(B87="",0,IF(GRERJFINAL!$C$39="Avaliador Judicial",ROUNDDOWN(GRERJFINAL!$D$39/P80,2),0))</f>
        <v>0</v>
      </c>
      <c r="M87" s="230">
        <f>IF(B87="",0,ROUNDDOWN(N87,2))</f>
        <v>0</v>
      </c>
      <c r="N87" s="231">
        <f ca="1">GRERJFINAL!$F$39/P80</f>
        <v>0</v>
      </c>
      <c r="O87" s="232">
        <f t="shared" si="10"/>
        <v>0</v>
      </c>
      <c r="Q87" s="213">
        <f t="shared" si="11"/>
        <v>0</v>
      </c>
    </row>
    <row r="88" spans="1:21" ht="15" x14ac:dyDescent="0.2">
      <c r="B88" s="366" t="s">
        <v>317</v>
      </c>
      <c r="C88" s="367" t="s">
        <v>318</v>
      </c>
      <c r="D88" s="557">
        <f ca="1">Q88</f>
        <v>0</v>
      </c>
      <c r="E88" s="557"/>
      <c r="F88" s="557"/>
      <c r="G88" s="557"/>
      <c r="H88" s="558" t="str">
        <f ca="1">IF(D88=0,"",IF(D88="","","A Recolher"))</f>
        <v/>
      </c>
      <c r="I88" s="558"/>
      <c r="J88" s="558"/>
      <c r="K88" s="420"/>
      <c r="L88" s="230"/>
      <c r="M88" s="230"/>
      <c r="N88" s="233"/>
      <c r="O88" s="232"/>
      <c r="Q88" s="213">
        <f ca="1">ROUNDDOWN(SUM(Q80:Q87)*0.1,2)</f>
        <v>0</v>
      </c>
    </row>
    <row r="89" spans="1:21" ht="15" x14ac:dyDescent="0.2">
      <c r="A89" s="213"/>
      <c r="B89" s="368" t="str">
        <f>S89</f>
        <v/>
      </c>
      <c r="C89" s="369" t="str">
        <f ca="1">IF(D89="ERRO","Mais de um distribuidor marcado","Atos dos Distribuidores")</f>
        <v>Atos dos Distribuidores</v>
      </c>
      <c r="D89" s="557">
        <f ca="1">IF(GRERJFINAL!F98="ERRO","ERRO",ABS(O89))</f>
        <v>0</v>
      </c>
      <c r="E89" s="557"/>
      <c r="F89" s="557"/>
      <c r="G89" s="557"/>
      <c r="H89" s="558" t="str">
        <f ca="1">IF(D89="ERRO","ERRO",IF(O89=0,"",IF(M89&gt;L89,"A Recolher","A Maior")))</f>
        <v/>
      </c>
      <c r="I89" s="558"/>
      <c r="J89" s="558"/>
      <c r="K89" s="420"/>
      <c r="L89" s="230">
        <f>ROUNDDOWN(GRERJFINAL!$D$43/P80,2)</f>
        <v>0</v>
      </c>
      <c r="M89" s="230">
        <f ca="1">ROUNDDOWN(N89,2)</f>
        <v>0</v>
      </c>
      <c r="N89" s="233">
        <f ca="1">GRERJFINAL!$F$43/P80</f>
        <v>0</v>
      </c>
      <c r="O89" s="232">
        <f ca="1">ROUNDDOWN(L89-M89,2)</f>
        <v>0</v>
      </c>
      <c r="Q89" s="213">
        <f ca="1">IF(H89="A Recolher",D89,0)</f>
        <v>0</v>
      </c>
      <c r="S89" s="212" t="str">
        <f>IF('Atos Serv. Jud. Lei. 6369'!$E$433&gt;0,"2102-2",IF('Atos Serv. Jud. Lei. 6369'!$E$435&gt;0,"3071-0024739-1",IF('Atos Serv. Jud. Lei. 6369'!$E$437&gt;0,"0065-0210279-0",IF('Atos Serv. Jud. Lei. 6369'!$E$439,"0445-0137200-9",IF('Atos Serv. Jud. Lei. 6369'!$E$441&gt;0,"1669-0012095-2","")))))</f>
        <v/>
      </c>
    </row>
    <row r="90" spans="1:21" ht="15" x14ac:dyDescent="0.2">
      <c r="A90" s="213"/>
      <c r="B90" s="370" t="str">
        <f>IF('Atos Serv. Jud. Lei. 6369'!$E$433&gt;0,"2701-1",IF('Atos Serv. Jud. Lei. 6369'!$E$435&gt;0,"2702-9",IF('Atos Serv. Jud. Lei. 6369'!$E$437&gt;0,"2703-7",IF('Atos Serv. Jud. Lei. 6369'!$E$439,"2704-5",IF('Atos Serv. Jud. Lei. 6369'!$E$441,"2705-2","")))))</f>
        <v/>
      </c>
      <c r="C90" s="369" t="str">
        <f>IF(B90="","","Distribuidores (Aviso TJ Nº 22/2013)")</f>
        <v/>
      </c>
      <c r="D90" s="557" t="str">
        <f>IF(B90="","",ABS(O90))</f>
        <v/>
      </c>
      <c r="E90" s="557"/>
      <c r="F90" s="557"/>
      <c r="G90" s="557"/>
      <c r="H90" s="558" t="str">
        <f>IF(B90="","",IF(O90=0,"",IF(M90&gt;L90,"A Recolher","A Maior")))</f>
        <v/>
      </c>
      <c r="I90" s="558"/>
      <c r="J90" s="558"/>
      <c r="K90" s="420"/>
      <c r="L90" s="230">
        <f>ROUNDDOWN(GRERJFINAL!$D$45/P80,2)</f>
        <v>0</v>
      </c>
      <c r="M90" s="230">
        <f ca="1">ROUNDDOWN(N90,2)</f>
        <v>0</v>
      </c>
      <c r="N90" s="233">
        <f ca="1">GRERJFINAL!$F$45/P80</f>
        <v>0</v>
      </c>
      <c r="O90" s="232">
        <f ca="1">ROUNDDOWN(L90-M90,2)</f>
        <v>0</v>
      </c>
      <c r="Q90" s="213">
        <f>IF(H90="A Recolher",D90,0)</f>
        <v>0</v>
      </c>
    </row>
    <row r="91" spans="1:21" ht="15" x14ac:dyDescent="0.2">
      <c r="B91" s="368" t="s">
        <v>321</v>
      </c>
      <c r="C91" s="364" t="s">
        <v>322</v>
      </c>
      <c r="D91" s="557">
        <f ca="1">Q91</f>
        <v>0</v>
      </c>
      <c r="E91" s="557"/>
      <c r="F91" s="557"/>
      <c r="G91" s="557"/>
      <c r="H91" s="558" t="str">
        <f ca="1">IF(D91=0,"",IF(D91="","","A Recolher"))</f>
        <v/>
      </c>
      <c r="I91" s="558"/>
      <c r="J91" s="558"/>
      <c r="K91" s="420"/>
      <c r="L91" s="230"/>
      <c r="M91" s="230"/>
      <c r="N91" s="233"/>
      <c r="O91" s="232"/>
      <c r="Q91" s="213">
        <f ca="1">IF((Q89+Q95+Q97+Q99+Q101)=0,0,ROUNDDOWN((Q89+Q95+Q97+Q99+Q101)*0.2,2))</f>
        <v>0</v>
      </c>
    </row>
    <row r="92" spans="1:21" ht="15" x14ac:dyDescent="0.2">
      <c r="B92" s="363" t="s">
        <v>323</v>
      </c>
      <c r="C92" s="364" t="s">
        <v>324</v>
      </c>
      <c r="D92" s="557">
        <f ca="1">ABS(O92)</f>
        <v>0</v>
      </c>
      <c r="E92" s="557"/>
      <c r="F92" s="557"/>
      <c r="G92" s="557"/>
      <c r="H92" s="558" t="str">
        <f ca="1">IF(O92=0,"",IF(M92&gt;L92,"A Recolher","A Maior"))</f>
        <v/>
      </c>
      <c r="I92" s="558"/>
      <c r="J92" s="558"/>
      <c r="K92" s="420"/>
      <c r="L92" s="230">
        <f>ROUNDDOWN(GRERJFINAL!$D$49/P80,2)</f>
        <v>0</v>
      </c>
      <c r="M92" s="230">
        <f ca="1">ROUNDDOWN(N92,2)</f>
        <v>0</v>
      </c>
      <c r="N92" s="231">
        <f ca="1">GRERJFINAL!$F$49/P80</f>
        <v>0</v>
      </c>
      <c r="O92" s="232">
        <f ca="1">ROUNDDOWN(L92-M92,2)</f>
        <v>0</v>
      </c>
      <c r="P92" s="139"/>
      <c r="Q92" s="213">
        <f ca="1">IF(H92="A Recolher",D92,0)</f>
        <v>0</v>
      </c>
      <c r="R92" s="139"/>
      <c r="U92" s="359"/>
    </row>
    <row r="93" spans="1:21" ht="15" x14ac:dyDescent="0.2">
      <c r="B93" s="363" t="s">
        <v>364</v>
      </c>
      <c r="C93" s="364" t="s">
        <v>326</v>
      </c>
      <c r="D93" s="557">
        <f ca="1">Q93</f>
        <v>0</v>
      </c>
      <c r="E93" s="557"/>
      <c r="F93" s="557"/>
      <c r="G93" s="557"/>
      <c r="H93" s="558" t="str">
        <f ca="1">IF(D93=0,"",IF(D93="","","A Recolher"))</f>
        <v/>
      </c>
      <c r="I93" s="558"/>
      <c r="J93" s="558"/>
      <c r="K93" s="420"/>
      <c r="L93" s="230"/>
      <c r="M93" s="230"/>
      <c r="N93" s="233"/>
      <c r="O93" s="232"/>
      <c r="Q93" s="213">
        <f ca="1">ROUNDDOWN((SUM(Q80:Q87)+Q89+Q95+Q97+Q99+Q101)*0.05,2)</f>
        <v>0</v>
      </c>
    </row>
    <row r="94" spans="1:21" ht="15" x14ac:dyDescent="0.2">
      <c r="B94" s="363" t="s">
        <v>365</v>
      </c>
      <c r="C94" s="371" t="s">
        <v>328</v>
      </c>
      <c r="D94" s="567">
        <f ca="1">D93</f>
        <v>0</v>
      </c>
      <c r="E94" s="567"/>
      <c r="F94" s="567"/>
      <c r="G94" s="567"/>
      <c r="H94" s="591" t="str">
        <f ca="1">IF(D94=0,"",IF(D94="","","A Recolher"))</f>
        <v/>
      </c>
      <c r="I94" s="591"/>
      <c r="J94" s="591"/>
      <c r="K94" s="420"/>
      <c r="L94" s="230"/>
      <c r="M94" s="230"/>
      <c r="N94" s="233"/>
      <c r="O94" s="232"/>
      <c r="Q94" s="213">
        <f ca="1">Q93</f>
        <v>0</v>
      </c>
    </row>
    <row r="95" spans="1:21" ht="15" x14ac:dyDescent="0.2">
      <c r="B95" s="363" t="str">
        <f>S95</f>
        <v/>
      </c>
      <c r="C95" s="369" t="str">
        <f>IF(B95="","",IF(D95="ERRO","Mais de um distribuidor marcado","Atos dos Distribuidores"))</f>
        <v/>
      </c>
      <c r="D95" s="565">
        <f>IF(GRERJFINAL!F110="ERRO","ERRO",IF(B95="",0,ABS(O95)))</f>
        <v>0</v>
      </c>
      <c r="E95" s="565"/>
      <c r="F95" s="565"/>
      <c r="G95" s="565"/>
      <c r="H95" s="558" t="str">
        <f>IF(D95="ERRO","ERRO",IF(B95="","",IF(O95=0,"",IF(M95&gt;L95,"A Recolher","A Maior"))))</f>
        <v/>
      </c>
      <c r="I95" s="558"/>
      <c r="J95" s="558"/>
      <c r="K95" s="420"/>
      <c r="L95" s="230">
        <f>IF(B95="",0,ROUNDDOWN(GRERJFINAL!$D$55/P80,2))</f>
        <v>0</v>
      </c>
      <c r="M95" s="230">
        <f t="shared" ref="M95:M102" si="12">IF(B95="",0,ROUNDDOWN(N95,2))</f>
        <v>0</v>
      </c>
      <c r="N95" s="226">
        <f ca="1">GRERJFINAL!$F$55/P80</f>
        <v>0</v>
      </c>
      <c r="O95" s="232">
        <f t="shared" ref="O95:O106" si="13">ROUNDDOWN(L95-M95,2)</f>
        <v>0</v>
      </c>
      <c r="Q95" s="213">
        <f t="shared" ref="Q95:Q106" si="14">IF(H95="A Recolher",D95,0)</f>
        <v>0</v>
      </c>
      <c r="S95" s="212" t="str">
        <f>IF('Atos Serv. Jud. Lei. 6369'!$E$457&gt;0,"2102-2",IF('Atos Serv. Jud. Lei. 6369'!$E$459&gt;0,"3071-0024739-1",IF('Atos Serv. Jud. Lei. 6369'!$E$461&gt;0,"0065-0210279-0",IF('Atos Serv. Jud. Lei. 6369'!$E$463,"0445-0137200-9",IF('Atos Serv. Jud. Lei. 6369'!$E$465&gt;0,"1669-0012095-2","")))))</f>
        <v/>
      </c>
    </row>
    <row r="96" spans="1:21" ht="15" x14ac:dyDescent="0.2">
      <c r="B96" s="372" t="str">
        <f>IF('Atos Serv. Jud. Lei. 6369'!$E$457&gt;0,"2701-1",IF('Atos Serv. Jud. Lei. 6369'!$E$459&gt;0,"2702-9",IF('Atos Serv. Jud. Lei. 6369'!$E$461&gt;0,"2703-7",IF('Atos Serv. Jud. Lei. 6369'!$E$463,"2704-5",IF('Atos Serv. Jud. Lei. 6369'!$E$465,"2705-2","")))))</f>
        <v/>
      </c>
      <c r="C96" s="369" t="str">
        <f>IF(B96="","","Distribuidores (Aviso TJ Nº 22/2013)")</f>
        <v/>
      </c>
      <c r="D96" s="557" t="str">
        <f>IF(B96="","",ABS(O96))</f>
        <v/>
      </c>
      <c r="E96" s="557"/>
      <c r="F96" s="557"/>
      <c r="G96" s="557"/>
      <c r="H96" s="558" t="str">
        <f>IF(B96="","",IF(O96=0,"",IF(M96&gt;L96,"A Recolher","A Maior")))</f>
        <v/>
      </c>
      <c r="I96" s="558"/>
      <c r="J96" s="558"/>
      <c r="K96" s="420"/>
      <c r="L96" s="230">
        <f>IF(B96="",0,ROUNDDOWN(GRERJFINAL!$D$57/P80,2))</f>
        <v>0</v>
      </c>
      <c r="M96" s="230">
        <f t="shared" si="12"/>
        <v>0</v>
      </c>
      <c r="N96" s="226">
        <f ca="1">GRERJFINAL!$F$57/P80</f>
        <v>0</v>
      </c>
      <c r="O96" s="232">
        <f t="shared" si="13"/>
        <v>0</v>
      </c>
      <c r="Q96" s="213">
        <f t="shared" si="14"/>
        <v>0</v>
      </c>
    </row>
    <row r="97" spans="1:19" ht="15" x14ac:dyDescent="0.2">
      <c r="B97" s="373" t="str">
        <f>S97</f>
        <v/>
      </c>
      <c r="C97" s="374" t="str">
        <f>IF(B97="","",IF(D97="ERRO","Mais de um distribuidor marcado","Atos dos Distribuidores"))</f>
        <v/>
      </c>
      <c r="D97" s="565">
        <f>IF(GRERJFINAL!F114="ERRO","ERRO",IF(B97="",0,ABS(O97)))</f>
        <v>0</v>
      </c>
      <c r="E97" s="565"/>
      <c r="F97" s="565"/>
      <c r="G97" s="565"/>
      <c r="H97" s="566" t="str">
        <f>IF(D97="ERRO","ERRO",IF(B97="","",IF(O97=0,"",IF(M97&gt;L97,"A Recolher","A Maior"))))</f>
        <v/>
      </c>
      <c r="I97" s="566"/>
      <c r="J97" s="566"/>
      <c r="K97" s="420"/>
      <c r="L97" s="230">
        <f>IF(B97="",0,ROUNDDOWN(GRERJFINAL!$D$59/P80,2))</f>
        <v>0</v>
      </c>
      <c r="M97" s="230">
        <f t="shared" si="12"/>
        <v>0</v>
      </c>
      <c r="N97" s="226">
        <f ca="1">GRERJFINAL!$F$59/P80</f>
        <v>0</v>
      </c>
      <c r="O97" s="232">
        <f t="shared" si="13"/>
        <v>0</v>
      </c>
      <c r="Q97" s="213">
        <f t="shared" si="14"/>
        <v>0</v>
      </c>
      <c r="S97" s="212" t="str">
        <f>IF('Atos Serv. Jud. Lei. 6369'!$E$481&gt;0,"2102-2",IF('Atos Serv. Jud. Lei. 6369'!$E$483&gt;0,"3071-0024739-1",IF('Atos Serv. Jud. Lei. 6369'!$E$485&gt;0,"0065-0210279-0",IF('Atos Serv. Jud. Lei. 6369'!$E$487,"0445-0137200-9",IF('Atos Serv. Jud. Lei. 6369'!$E$489&gt;0,"1669-0012095-2","")))))</f>
        <v/>
      </c>
    </row>
    <row r="98" spans="1:19" ht="15" x14ac:dyDescent="0.2">
      <c r="B98" s="375" t="str">
        <f>IF('Atos Serv. Jud. Lei. 6369'!$E$481&gt;0,"2701-1",IF('Atos Serv. Jud. Lei. 6369'!$E$483&gt;0,"2702-9",IF('Atos Serv. Jud. Lei. 6369'!$E$485&gt;0,"2703-7",IF('Atos Serv. Jud. Lei. 6369'!$E$487,"2704-5",IF('Atos Serv. Jud. Lei. 6369'!$E$489,"2705-2","")))))</f>
        <v/>
      </c>
      <c r="C98" s="376" t="str">
        <f>IF(B98="","","Distribuidores (Aviso TJ Nº 22/2013)")</f>
        <v/>
      </c>
      <c r="D98" s="557" t="str">
        <f>IF(B98="","",ABS(O98))</f>
        <v/>
      </c>
      <c r="E98" s="557"/>
      <c r="F98" s="557"/>
      <c r="G98" s="557"/>
      <c r="H98" s="558" t="str">
        <f>IF(B98="","",IF(O98=0,"",IF(M98&gt;L98,"A Recolher","A Maior")))</f>
        <v/>
      </c>
      <c r="I98" s="558"/>
      <c r="J98" s="558"/>
      <c r="K98" s="420"/>
      <c r="L98" s="230">
        <f>IF(B98="",0,ROUNDDOWN(GRERJFINAL!$D$61/P80,2))</f>
        <v>0</v>
      </c>
      <c r="M98" s="230">
        <f t="shared" si="12"/>
        <v>0</v>
      </c>
      <c r="N98" s="226">
        <f ca="1">GRERJFINAL!$F$61/P80</f>
        <v>0</v>
      </c>
      <c r="O98" s="232">
        <f t="shared" si="13"/>
        <v>0</v>
      </c>
      <c r="Q98" s="213">
        <f t="shared" si="14"/>
        <v>0</v>
      </c>
    </row>
    <row r="99" spans="1:19" ht="15" x14ac:dyDescent="0.2">
      <c r="B99" s="375" t="str">
        <f>S99</f>
        <v/>
      </c>
      <c r="C99" s="374" t="str">
        <f>IF(B99="","",IF(D99="ERRO","Mais de um distribuidor marcado","Atos dos Distribuidores"))</f>
        <v/>
      </c>
      <c r="D99" s="565">
        <f>IF(GRERJFINAL!F118="ERRO","ERRO",IF(B99="",0,ABS(O99)))</f>
        <v>0</v>
      </c>
      <c r="E99" s="565"/>
      <c r="F99" s="565"/>
      <c r="G99" s="565"/>
      <c r="H99" s="566" t="str">
        <f>IF(D99="ERRO","ERRO",IF(B99="","",IF(O99=0,"",IF(M99&gt;L99,"A Recolher","A Maior"))))</f>
        <v/>
      </c>
      <c r="I99" s="566"/>
      <c r="J99" s="566"/>
      <c r="K99" s="420"/>
      <c r="L99" s="230">
        <f>IF(B99="",0,ROUNDDOWN(GRERJFINAL!$D$63/P80,2))</f>
        <v>0</v>
      </c>
      <c r="M99" s="230">
        <f t="shared" si="12"/>
        <v>0</v>
      </c>
      <c r="N99" s="226">
        <f ca="1">GRERJFINAL!$F$63/P80</f>
        <v>0</v>
      </c>
      <c r="O99" s="232">
        <f t="shared" si="13"/>
        <v>0</v>
      </c>
      <c r="Q99" s="213">
        <f t="shared" si="14"/>
        <v>0</v>
      </c>
      <c r="S99" s="212" t="str">
        <f>IF('Atos Serv. Jud. Lei. 6369'!$E$505&gt;0,"2102-2",IF('Atos Serv. Jud. Lei. 6369'!$E$507&gt;0,"3071-0024739-1",IF('Atos Serv. Jud. Lei. 6369'!$E$509&gt;0,"0065-0210279-0",IF('Atos Serv. Jud. Lei. 6369'!$E$511,"0445-0137200-9",IF('Atos Serv. Jud. Lei. 6369'!$E$513&gt;0,"1669-0012095-2","")))))</f>
        <v/>
      </c>
    </row>
    <row r="100" spans="1:19" ht="15" x14ac:dyDescent="0.2">
      <c r="B100" s="375" t="str">
        <f>IF('Atos Serv. Jud. Lei. 6369'!$E$505&gt;0,"2701-1",IF('Atos Serv. Jud. Lei. 6369'!$E$507&gt;0,"2702-9",IF('Atos Serv. Jud. Lei. 6369'!$E$509&gt;0,"2703-7",IF('Atos Serv. Jud. Lei. 6369'!$E$511,"2704-5",IF('Atos Serv. Jud. Lei. 6369'!$E$513,"2705-2","")))))</f>
        <v/>
      </c>
      <c r="C100" s="374" t="str">
        <f>IF(B100="","","Distribuidores (Aviso TJ Nº 22/2013)")</f>
        <v/>
      </c>
      <c r="D100" s="557" t="str">
        <f>IF(B100="","",ABS(O100))</f>
        <v/>
      </c>
      <c r="E100" s="557"/>
      <c r="F100" s="557"/>
      <c r="G100" s="557"/>
      <c r="H100" s="558" t="str">
        <f>IF(B100="","",IF(O100=0,"",IF(M100&gt;L100,"A Recolher","A Maior")))</f>
        <v/>
      </c>
      <c r="I100" s="558"/>
      <c r="J100" s="558"/>
      <c r="K100" s="420"/>
      <c r="L100" s="230">
        <f>IF(B100="",0,ROUNDDOWN(GRERJFINAL!$D$65/P80,2))</f>
        <v>0</v>
      </c>
      <c r="M100" s="230">
        <f t="shared" si="12"/>
        <v>0</v>
      </c>
      <c r="N100" s="226">
        <f ca="1">GRERJFINAL!$F$65/P80</f>
        <v>0</v>
      </c>
      <c r="O100" s="232">
        <f t="shared" si="13"/>
        <v>0</v>
      </c>
      <c r="Q100" s="213">
        <f t="shared" si="14"/>
        <v>0</v>
      </c>
    </row>
    <row r="101" spans="1:19" ht="12.75" customHeight="1" x14ac:dyDescent="0.2">
      <c r="B101" s="375" t="str">
        <f>S101</f>
        <v/>
      </c>
      <c r="C101" s="374" t="str">
        <f>IF(B101="","",IF(D101="ERRO","Mais de um distribuidor marcado","Atos dos Distribuidores"))</f>
        <v/>
      </c>
      <c r="D101" s="565">
        <f>IF(GRERJFINAL!F122="ERRO","ERRO",IF(B101="",0,ABS(O101)))</f>
        <v>0</v>
      </c>
      <c r="E101" s="565"/>
      <c r="F101" s="565"/>
      <c r="G101" s="565"/>
      <c r="H101" s="566" t="str">
        <f>IF(D101="ERRO","ERRO",IF(B101="","",IF(O101=0,"",IF(M101&gt;L101,"A Recolher","A Maior"))))</f>
        <v/>
      </c>
      <c r="I101" s="566"/>
      <c r="J101" s="566"/>
      <c r="K101" s="420"/>
      <c r="L101" s="230">
        <f>IF(B101="",0,ROUNDDOWN(GRERJFINAL!$D$67/P80,2))</f>
        <v>0</v>
      </c>
      <c r="M101" s="230">
        <f t="shared" si="12"/>
        <v>0</v>
      </c>
      <c r="N101" s="226">
        <f ca="1">GRERJFINAL!$F$67/P80</f>
        <v>0</v>
      </c>
      <c r="O101" s="232">
        <f t="shared" si="13"/>
        <v>0</v>
      </c>
      <c r="Q101" s="213">
        <f t="shared" si="14"/>
        <v>0</v>
      </c>
      <c r="S101" s="212" t="str">
        <f>IF('Atos Serv. Jud. Lei. 6369'!$E$529&gt;0,"2102-2",IF('Atos Serv. Jud. Lei. 6369'!$E$531&gt;0,"3071-0024739-1",IF('Atos Serv. Jud. Lei. 6369'!$E$533&gt;0,"0065-0210279-0",IF('Atos Serv. Jud. Lei. 6369'!$E$535,"0445-0137200-9",IF('Atos Serv. Jud. Lei. 6369'!$E$537&gt;0,"1669-0012095-2","")))))</f>
        <v/>
      </c>
    </row>
    <row r="102" spans="1:19" ht="15" x14ac:dyDescent="0.2">
      <c r="B102" s="375" t="str">
        <f>IF('Atos Serv. Jud. Lei. 6369'!$E$529&gt;0,"2701-1",IF('Atos Serv. Jud. Lei. 6369'!$E$531&gt;0,"2702-9",IF('Atos Serv. Jud. Lei. 6369'!$E$533&gt;0,"2703-7",IF('Atos Serv. Jud. Lei. 6369'!$E$535,"2704-5",IF('Atos Serv. Jud. Lei. 6369'!$E$537,"2705-2","")))))</f>
        <v/>
      </c>
      <c r="C102" s="374" t="str">
        <f>IF(B102="","","Distribuidores (Aviso TJ Nº 22/2013)")</f>
        <v/>
      </c>
      <c r="D102" s="557" t="str">
        <f>IF(B102="","",ABS(O102))</f>
        <v/>
      </c>
      <c r="E102" s="557"/>
      <c r="F102" s="557"/>
      <c r="G102" s="557"/>
      <c r="H102" s="558" t="str">
        <f>IF(B102="","",IF(O102=0,"",IF(M102&gt;L102,"A Recolher","A Maior")))</f>
        <v/>
      </c>
      <c r="I102" s="558"/>
      <c r="J102" s="558"/>
      <c r="K102" s="420"/>
      <c r="L102" s="230">
        <f>IF(B102="",0,ROUNDDOWN(GRERJFINAL!$D$69/P80,2))</f>
        <v>0</v>
      </c>
      <c r="M102" s="230">
        <f t="shared" si="12"/>
        <v>0</v>
      </c>
      <c r="N102" s="226">
        <f ca="1">GRERJFINAL!$F$69/P80</f>
        <v>0</v>
      </c>
      <c r="O102" s="232">
        <f t="shared" si="13"/>
        <v>0</v>
      </c>
      <c r="Q102" s="213">
        <f t="shared" si="14"/>
        <v>0</v>
      </c>
    </row>
    <row r="103" spans="1:19" ht="12.75" customHeight="1" x14ac:dyDescent="0.2">
      <c r="B103" s="386" t="str">
        <f ca="1">IF(D103=0,"","2111-1")</f>
        <v/>
      </c>
      <c r="C103" s="376" t="str">
        <f ca="1">IF(D103=0,"","Multa para Litigância de Má-Fé")</f>
        <v/>
      </c>
      <c r="D103" s="565">
        <f ca="1">ABS(O103)</f>
        <v>0</v>
      </c>
      <c r="E103" s="565"/>
      <c r="F103" s="565"/>
      <c r="G103" s="565"/>
      <c r="H103" s="566" t="str">
        <f ca="1">IF(O103=0,"",IF(M103&gt;L103,"A Recolher","A Maior"))</f>
        <v/>
      </c>
      <c r="I103" s="566"/>
      <c r="J103" s="566"/>
      <c r="K103" s="420"/>
      <c r="L103" s="230">
        <f>ROUNDDOWN(GRERJFINAL!$D$71/P80,2)</f>
        <v>0</v>
      </c>
      <c r="M103" s="230">
        <f ca="1">ROUNDDOWN(N103,2)</f>
        <v>0</v>
      </c>
      <c r="N103" s="226">
        <f ca="1">GRERJFINAL!$F$71/P80</f>
        <v>0</v>
      </c>
      <c r="O103" s="232">
        <f t="shared" ca="1" si="13"/>
        <v>0</v>
      </c>
      <c r="Q103" s="213">
        <f t="shared" ca="1" si="14"/>
        <v>0</v>
      </c>
    </row>
    <row r="104" spans="1:19" ht="12.75" customHeight="1" x14ac:dyDescent="0.2">
      <c r="B104" s="377" t="str">
        <f ca="1">IF(D104=0,"","2210-3")</f>
        <v/>
      </c>
      <c r="C104" s="378" t="str">
        <f ca="1">IF(D104=0,"","Reembolso de Auxílio Pericial")</f>
        <v/>
      </c>
      <c r="D104" s="570">
        <f ca="1">ABS(O104)</f>
        <v>0</v>
      </c>
      <c r="E104" s="570"/>
      <c r="F104" s="570"/>
      <c r="G104" s="570"/>
      <c r="H104" s="571" t="str">
        <f ca="1">IF(O104=0,"",IF(M104&gt;L104,"A Recolher","A Maior"))</f>
        <v/>
      </c>
      <c r="I104" s="571"/>
      <c r="J104" s="571"/>
      <c r="K104" s="420"/>
      <c r="L104" s="230">
        <f>ROUNDDOWN(GRERJFINAL!$D$73/P80,2)</f>
        <v>0</v>
      </c>
      <c r="M104" s="230">
        <f ca="1">ROUNDDOWN(N104,2)</f>
        <v>0</v>
      </c>
      <c r="N104" s="226">
        <f ca="1">GRERJFINAL!$F$73/P80</f>
        <v>0</v>
      </c>
      <c r="O104" s="232">
        <f t="shared" ca="1" si="13"/>
        <v>0</v>
      </c>
      <c r="Q104" s="213">
        <f t="shared" ca="1" si="14"/>
        <v>0</v>
      </c>
    </row>
    <row r="105" spans="1:19" ht="15" x14ac:dyDescent="0.2">
      <c r="A105" s="358"/>
      <c r="B105" s="393" t="str">
        <f ca="1">IF(D105=0,"","2212-9")</f>
        <v/>
      </c>
      <c r="C105" s="360" t="str">
        <f ca="1">IF(D105=0,"","Diversos")</f>
        <v/>
      </c>
      <c r="D105" s="572">
        <f ca="1">ABS(O105)</f>
        <v>0</v>
      </c>
      <c r="E105" s="573"/>
      <c r="F105" s="573"/>
      <c r="G105" s="574"/>
      <c r="H105" s="598" t="str">
        <f ca="1">IF(O105=0,"",IF(M105&gt;L105,"A Recolher","A Maior"))</f>
        <v/>
      </c>
      <c r="I105" s="599"/>
      <c r="J105" s="600"/>
      <c r="K105" s="420"/>
      <c r="L105" s="230">
        <f>ROUNDDOWN(GRERJFINAL!$D$75/P80,2)</f>
        <v>0</v>
      </c>
      <c r="M105" s="230">
        <f ca="1">ROUNDDOWN(N105,2)</f>
        <v>0</v>
      </c>
      <c r="N105" s="226">
        <f ca="1">GRERJFINAL!$F$75/P80</f>
        <v>0</v>
      </c>
      <c r="O105" s="232">
        <f t="shared" ca="1" si="13"/>
        <v>0</v>
      </c>
      <c r="Q105" s="213">
        <f t="shared" ca="1" si="14"/>
        <v>0</v>
      </c>
      <c r="S105" s="359"/>
    </row>
    <row r="106" spans="1:19" ht="15.75" thickBot="1" x14ac:dyDescent="0.25">
      <c r="A106" s="359"/>
      <c r="B106" s="389" t="str">
        <f ca="1">IF(D106=0,"","6246-0088011-6")</f>
        <v/>
      </c>
      <c r="C106" s="360" t="str">
        <f ca="1">IF(D106=0,"","Mediação/Conciliação")</f>
        <v/>
      </c>
      <c r="D106" s="572">
        <f ca="1">ABS(O106)</f>
        <v>0</v>
      </c>
      <c r="E106" s="573"/>
      <c r="F106" s="573"/>
      <c r="G106" s="574"/>
      <c r="H106" s="598" t="str">
        <f ca="1">IF(O106=0,"",IF(M106&gt;L106,"A Recolher","A Maior"))</f>
        <v/>
      </c>
      <c r="I106" s="599"/>
      <c r="J106" s="600"/>
      <c r="K106" s="420"/>
      <c r="L106" s="230">
        <f>ROUNDDOWN(GRERJFINAL!$D$77/P80,2)</f>
        <v>0</v>
      </c>
      <c r="M106" s="230">
        <f ca="1">ROUNDDOWN(N106,2)</f>
        <v>0</v>
      </c>
      <c r="N106" s="226">
        <f ca="1">GRERJFINAL!$F$77/P80</f>
        <v>0</v>
      </c>
      <c r="O106" s="232">
        <f t="shared" ca="1" si="13"/>
        <v>0</v>
      </c>
      <c r="Q106" s="213">
        <f t="shared" ca="1" si="14"/>
        <v>0</v>
      </c>
      <c r="S106" s="359"/>
    </row>
    <row r="107" spans="1:19" ht="15.75" thickBot="1" x14ac:dyDescent="0.25">
      <c r="B107" s="236"/>
      <c r="C107" s="237" t="s">
        <v>366</v>
      </c>
      <c r="D107" s="592">
        <f ca="1">Q107</f>
        <v>0</v>
      </c>
      <c r="E107" s="592"/>
      <c r="F107" s="592"/>
      <c r="G107" s="592"/>
      <c r="H107" s="593"/>
      <c r="I107" s="593"/>
      <c r="J107" s="593"/>
      <c r="K107" s="2"/>
      <c r="L107" s="238"/>
      <c r="M107" s="238"/>
      <c r="N107" s="239"/>
      <c r="O107" s="240"/>
      <c r="Q107" s="213">
        <f ca="1">SUM(Q80:Q106)</f>
        <v>0</v>
      </c>
    </row>
    <row r="108" spans="1:19" ht="15" x14ac:dyDescent="0.2">
      <c r="B108" s="1"/>
      <c r="C108" s="1"/>
      <c r="D108" s="420"/>
      <c r="E108" s="420"/>
      <c r="F108" s="420"/>
      <c r="G108" s="420"/>
      <c r="H108" s="420"/>
      <c r="I108" s="420"/>
      <c r="J108" s="420"/>
      <c r="K108" s="420"/>
      <c r="L108" s="420"/>
      <c r="M108" s="420"/>
    </row>
    <row r="109" spans="1:19" ht="15" x14ac:dyDescent="0.2">
      <c r="B109" s="173" t="s">
        <v>367</v>
      </c>
      <c r="C109" s="216" t="s">
        <v>368</v>
      </c>
      <c r="D109" s="581"/>
      <c r="E109" s="581"/>
      <c r="F109" s="581"/>
      <c r="G109" s="581"/>
      <c r="H109" s="581"/>
      <c r="I109" s="581"/>
      <c r="J109" s="581"/>
      <c r="K109" s="581"/>
    </row>
    <row r="110" spans="1:19" ht="15" x14ac:dyDescent="0.2"/>
    <row r="111" spans="1:19" ht="36.75" customHeight="1" x14ac:dyDescent="0.2">
      <c r="B111" s="241" t="s">
        <v>299</v>
      </c>
      <c r="C111" s="242" t="s">
        <v>300</v>
      </c>
      <c r="D111" s="582" t="s">
        <v>359</v>
      </c>
      <c r="E111" s="582"/>
      <c r="F111" s="582"/>
      <c r="G111" s="582"/>
      <c r="H111" s="583" t="s">
        <v>360</v>
      </c>
      <c r="I111" s="583"/>
      <c r="J111" s="583"/>
      <c r="K111" s="229"/>
      <c r="L111" s="229" t="s">
        <v>361</v>
      </c>
      <c r="M111" s="229" t="s">
        <v>362</v>
      </c>
    </row>
    <row r="112" spans="1:19" ht="15" x14ac:dyDescent="0.2">
      <c r="B112" s="380" t="s">
        <v>337</v>
      </c>
      <c r="C112" s="381" t="s">
        <v>338</v>
      </c>
      <c r="D112" s="584">
        <f ca="1">ABS(O112)</f>
        <v>0</v>
      </c>
      <c r="E112" s="584"/>
      <c r="F112" s="584"/>
      <c r="G112" s="584"/>
      <c r="H112" s="569" t="str">
        <f ca="1">IF(O112=0,"",IF(M112&gt;L112,"A Recolher","A Maior"))</f>
        <v/>
      </c>
      <c r="I112" s="569"/>
      <c r="J112" s="569"/>
      <c r="K112" s="420"/>
      <c r="L112" s="230">
        <f>ROUNDDOWN(GRERJFINAL!$D$82/P80,2)</f>
        <v>0</v>
      </c>
      <c r="M112" s="230">
        <f ca="1">ROUNDDOWN(N112,2)</f>
        <v>0</v>
      </c>
      <c r="N112" s="239">
        <f ca="1">GRERJFINAL!$F$82/P80</f>
        <v>0</v>
      </c>
      <c r="O112" s="243">
        <f ca="1">ROUNDDOWN(L112-M112,2)</f>
        <v>0</v>
      </c>
      <c r="Q112" s="213">
        <f ca="1">IF(H112="A Recolher",D112,0)</f>
        <v>0</v>
      </c>
    </row>
    <row r="113" spans="1:21" ht="12.75" customHeight="1" x14ac:dyDescent="0.2">
      <c r="B113" s="381" t="s">
        <v>307</v>
      </c>
      <c r="C113" s="381" t="s">
        <v>308</v>
      </c>
      <c r="D113" s="578">
        <f ca="1">ABS(O113)</f>
        <v>0</v>
      </c>
      <c r="E113" s="578"/>
      <c r="F113" s="578"/>
      <c r="G113" s="578"/>
      <c r="H113" s="558" t="str">
        <f ca="1">IF(O113=0,"",IF(M113&gt;L113,"A Recolher","A Maior"))</f>
        <v/>
      </c>
      <c r="I113" s="558"/>
      <c r="J113" s="558"/>
      <c r="K113" s="420"/>
      <c r="L113" s="230">
        <f>ROUNDDOWN(GRERJFINAL!$D$84/P80,2)</f>
        <v>0</v>
      </c>
      <c r="M113" s="230">
        <f ca="1">ROUNDDOWN(N113,2)</f>
        <v>0</v>
      </c>
      <c r="N113" s="239">
        <f ca="1">GRERJFINAL!$F$84/P80</f>
        <v>0</v>
      </c>
      <c r="O113" s="243">
        <f ca="1">ROUNDDOWN(L113-M113,2)</f>
        <v>0</v>
      </c>
      <c r="Q113" s="213">
        <f ca="1">IF(H113="A Recolher",D113,0)</f>
        <v>0</v>
      </c>
    </row>
    <row r="114" spans="1:21" ht="15" x14ac:dyDescent="0.2">
      <c r="B114" s="382" t="s">
        <v>317</v>
      </c>
      <c r="C114" s="382" t="s">
        <v>318</v>
      </c>
      <c r="D114" s="578">
        <f ca="1">Q114</f>
        <v>0</v>
      </c>
      <c r="E114" s="578"/>
      <c r="F114" s="578"/>
      <c r="G114" s="578"/>
      <c r="H114" s="558" t="str">
        <f ca="1">IF(D114=0,"",IF(D114="","","A Recolher"))</f>
        <v/>
      </c>
      <c r="I114" s="558"/>
      <c r="J114" s="558"/>
      <c r="K114" s="420"/>
      <c r="L114" s="230"/>
      <c r="M114" s="230"/>
      <c r="N114" s="239"/>
      <c r="O114" s="243"/>
      <c r="Q114" s="213">
        <f ca="1">ROUNDDOWN(SUM(Q112:Q113)*0.1,2)</f>
        <v>0</v>
      </c>
      <c r="T114" s="246"/>
      <c r="U114" s="246"/>
    </row>
    <row r="115" spans="1:21" ht="15" x14ac:dyDescent="0.2">
      <c r="B115" s="382" t="s">
        <v>364</v>
      </c>
      <c r="C115" s="382" t="s">
        <v>326</v>
      </c>
      <c r="D115" s="578">
        <f ca="1">Q115</f>
        <v>0</v>
      </c>
      <c r="E115" s="578"/>
      <c r="F115" s="578"/>
      <c r="G115" s="578"/>
      <c r="H115" s="558" t="str">
        <f ca="1">IF(D115=0,"",IF(D115="","","A Recolher"))</f>
        <v/>
      </c>
      <c r="I115" s="558"/>
      <c r="J115" s="558"/>
      <c r="K115" s="420"/>
      <c r="L115" s="230"/>
      <c r="M115" s="230"/>
      <c r="N115" s="239"/>
      <c r="O115" s="243"/>
      <c r="Q115" s="213">
        <f ca="1">ROUNDDOWN(SUM(Q112:Q113)*0.05,2)</f>
        <v>0</v>
      </c>
      <c r="T115" s="246"/>
    </row>
    <row r="116" spans="1:21" ht="15" x14ac:dyDescent="0.2">
      <c r="B116" s="363" t="s">
        <v>365</v>
      </c>
      <c r="C116" s="383" t="s">
        <v>328</v>
      </c>
      <c r="D116" s="586">
        <f ca="1">D115</f>
        <v>0</v>
      </c>
      <c r="E116" s="586"/>
      <c r="F116" s="586"/>
      <c r="G116" s="586"/>
      <c r="H116" s="558" t="str">
        <f ca="1">IF(D116=0,"",IF(D116="","","A Recolher"))</f>
        <v/>
      </c>
      <c r="I116" s="558"/>
      <c r="J116" s="558"/>
      <c r="K116" s="420"/>
      <c r="L116" s="230"/>
      <c r="M116" s="230"/>
      <c r="N116" s="239"/>
      <c r="O116" s="243"/>
      <c r="Q116" s="213">
        <f ca="1">IF(H116="A Recolher",D116,0)</f>
        <v>0</v>
      </c>
    </row>
    <row r="117" spans="1:21" ht="15.75" thickBot="1" x14ac:dyDescent="0.25">
      <c r="B117" s="236"/>
      <c r="C117" s="244" t="s">
        <v>366</v>
      </c>
      <c r="D117" s="594">
        <f ca="1">Q117</f>
        <v>0</v>
      </c>
      <c r="E117" s="594"/>
      <c r="F117" s="594"/>
      <c r="G117" s="594"/>
      <c r="H117" s="595"/>
      <c r="I117" s="595"/>
      <c r="J117" s="595"/>
      <c r="K117" s="230"/>
      <c r="L117" s="420"/>
      <c r="M117" s="420"/>
      <c r="N117" s="239"/>
      <c r="O117" s="240"/>
      <c r="Q117" s="213">
        <f ca="1">SUM(Q112:Q116)</f>
        <v>0</v>
      </c>
    </row>
    <row r="118" spans="1:21" ht="6" customHeight="1" x14ac:dyDescent="0.2">
      <c r="B118" s="4"/>
      <c r="C118" s="498"/>
      <c r="D118" s="230"/>
      <c r="E118" s="230"/>
      <c r="F118" s="230"/>
      <c r="G118" s="230"/>
      <c r="H118" s="230"/>
      <c r="I118" s="230"/>
      <c r="J118" s="230"/>
      <c r="K118" s="230"/>
      <c r="L118" s="497"/>
      <c r="M118" s="497"/>
      <c r="N118" s="239"/>
      <c r="O118" s="240"/>
    </row>
    <row r="119" spans="1:21" ht="15" x14ac:dyDescent="0.2">
      <c r="B119" s="245" t="s">
        <v>369</v>
      </c>
      <c r="C119" s="589">
        <f ca="1">TODAY()</f>
        <v>43209</v>
      </c>
      <c r="D119" s="589"/>
      <c r="E119" s="589"/>
      <c r="F119" s="589"/>
      <c r="G119" s="589"/>
      <c r="H119" s="589"/>
      <c r="I119" s="589"/>
      <c r="J119" s="589"/>
      <c r="K119" s="246"/>
      <c r="L119" s="246"/>
      <c r="M119" s="246"/>
      <c r="N119" s="246"/>
      <c r="O119" s="246"/>
      <c r="P119" s="246"/>
      <c r="Q119" s="238"/>
      <c r="R119" s="246"/>
      <c r="S119" s="246"/>
    </row>
    <row r="120" spans="1:21" ht="15" x14ac:dyDescent="0.2">
      <c r="B120" s="245"/>
      <c r="C120" s="245"/>
      <c r="D120" s="421"/>
      <c r="E120" s="421"/>
      <c r="F120" s="421"/>
      <c r="G120" s="421"/>
      <c r="H120" s="421"/>
      <c r="I120" s="421"/>
      <c r="J120" s="421"/>
      <c r="K120" s="421"/>
      <c r="L120" s="246"/>
      <c r="M120" s="246"/>
      <c r="N120" s="246"/>
      <c r="O120" s="246"/>
      <c r="P120" s="246"/>
      <c r="Q120" s="238"/>
      <c r="R120" s="246"/>
      <c r="S120" s="246"/>
    </row>
    <row r="121" spans="1:21" ht="15" x14ac:dyDescent="0.2">
      <c r="B121" s="245"/>
      <c r="D121" s="421"/>
      <c r="E121" s="421"/>
      <c r="F121" s="421"/>
      <c r="G121" s="421"/>
      <c r="H121" s="421"/>
      <c r="I121" s="421"/>
      <c r="J121" s="421"/>
      <c r="K121" s="421"/>
      <c r="L121" s="421"/>
      <c r="M121" s="421"/>
    </row>
    <row r="122" spans="1:21" ht="15" x14ac:dyDescent="0.2">
      <c r="A122" s="585" t="str">
        <f>IF('Atos Serv. Jud. Lei. 6369'!$H$9="","NOME",('Atos Serv. Jud. Lei. 6369'!$H$9))</f>
        <v>NOME</v>
      </c>
      <c r="B122" s="585"/>
      <c r="C122" s="585"/>
      <c r="D122" s="585"/>
      <c r="E122" s="585"/>
      <c r="F122" s="585"/>
      <c r="G122" s="585"/>
      <c r="H122" s="585"/>
      <c r="I122" s="585"/>
      <c r="J122" s="585"/>
      <c r="K122" s="585"/>
      <c r="L122" s="420"/>
      <c r="M122" s="420"/>
    </row>
    <row r="123" spans="1:21" ht="15" x14ac:dyDescent="0.2">
      <c r="A123" s="585" t="str">
        <f>IF('Atos Serv. Jud. Lei. 6369'!$H$11="","MATRÍCULA",'Atos Serv. Jud. Lei. 6369'!$H$11)</f>
        <v>MATRÍCULA</v>
      </c>
      <c r="B123" s="585"/>
      <c r="C123" s="585"/>
      <c r="D123" s="585"/>
      <c r="E123" s="585"/>
      <c r="F123" s="585"/>
      <c r="G123" s="585"/>
      <c r="H123" s="585"/>
      <c r="I123" s="585"/>
      <c r="J123" s="585"/>
      <c r="K123" s="585"/>
      <c r="L123" s="420"/>
      <c r="M123" s="420"/>
    </row>
    <row r="124" spans="1:21" ht="15" x14ac:dyDescent="0.2">
      <c r="A124" s="485"/>
      <c r="B124" s="485"/>
      <c r="C124" s="485"/>
      <c r="D124" s="485"/>
      <c r="E124" s="485"/>
      <c r="F124" s="485"/>
      <c r="G124" s="485"/>
      <c r="H124" s="485"/>
      <c r="I124" s="485"/>
      <c r="J124" s="485"/>
      <c r="K124" s="485"/>
      <c r="L124" s="485"/>
      <c r="M124" s="485"/>
    </row>
    <row r="125" spans="1:21" ht="15" x14ac:dyDescent="0.2">
      <c r="A125" s="596"/>
      <c r="B125" s="596"/>
      <c r="C125" s="596"/>
      <c r="D125" s="596"/>
      <c r="E125" s="596"/>
      <c r="F125" s="596"/>
      <c r="G125" s="596"/>
      <c r="H125" s="596"/>
      <c r="I125" s="596"/>
      <c r="J125" s="596"/>
      <c r="K125" s="596"/>
      <c r="L125" s="596"/>
      <c r="M125" s="596"/>
      <c r="N125" s="596"/>
      <c r="O125" s="596"/>
      <c r="P125" s="596"/>
      <c r="Q125" s="596"/>
      <c r="R125" s="596"/>
    </row>
    <row r="126" spans="1:21" ht="11.25" customHeight="1" x14ac:dyDescent="0.2">
      <c r="B126" s="173" t="s">
        <v>349</v>
      </c>
    </row>
    <row r="127" spans="1:21" ht="10.5" customHeight="1" x14ac:dyDescent="0.2">
      <c r="B127" s="173" t="s">
        <v>350</v>
      </c>
      <c r="R127" s="214"/>
    </row>
    <row r="128" spans="1:21" ht="10.5" customHeight="1" x14ac:dyDescent="0.2">
      <c r="B128" s="173" t="s">
        <v>351</v>
      </c>
      <c r="R128" s="214"/>
    </row>
    <row r="129" spans="1:18" ht="10.5" customHeight="1" x14ac:dyDescent="0.2">
      <c r="B129" s="173" t="s">
        <v>352</v>
      </c>
      <c r="R129" s="214"/>
    </row>
    <row r="130" spans="1:18" ht="10.5" customHeight="1" x14ac:dyDescent="0.2">
      <c r="B130" s="173" t="s">
        <v>353</v>
      </c>
      <c r="R130" s="214"/>
    </row>
    <row r="131" spans="1:18" s="173" customFormat="1" ht="11.25" customHeight="1" x14ac:dyDescent="0.2">
      <c r="B131" s="173" t="s">
        <v>354</v>
      </c>
      <c r="Q131" s="215"/>
    </row>
    <row r="132" spans="1:18" ht="11.25" customHeight="1" x14ac:dyDescent="0.2">
      <c r="B132" s="173" t="s">
        <v>355</v>
      </c>
    </row>
    <row r="133" spans="1:18" ht="6" customHeight="1" x14ac:dyDescent="0.2">
      <c r="J133" s="214"/>
      <c r="K133" s="214"/>
    </row>
    <row r="134" spans="1:18" ht="15" x14ac:dyDescent="0.2">
      <c r="A134" s="216" t="s">
        <v>356</v>
      </c>
      <c r="B134" s="217" t="str">
        <f>IF('Atos Serv. Jud. Lei. 6369'!$H$7=0,"",'Atos Serv. Jud. Lei. 6369'!$H$7)</f>
        <v/>
      </c>
      <c r="E134" s="218"/>
      <c r="F134" s="218"/>
      <c r="G134" s="218"/>
      <c r="H134" s="218"/>
      <c r="I134" s="218"/>
      <c r="J134" s="218"/>
      <c r="K134" s="218"/>
      <c r="L134" s="218"/>
    </row>
    <row r="135" spans="1:18" ht="6" customHeight="1" x14ac:dyDescent="0.2">
      <c r="A135" s="216"/>
      <c r="B135" s="219"/>
      <c r="C135" s="220"/>
      <c r="D135" s="220"/>
      <c r="E135" s="220"/>
      <c r="F135" s="221"/>
      <c r="G135" s="220"/>
      <c r="H135" s="221"/>
      <c r="I135" s="220"/>
      <c r="J135" s="218"/>
      <c r="K135" s="218"/>
    </row>
    <row r="136" spans="1:18" ht="18" x14ac:dyDescent="0.25">
      <c r="A136" s="559" t="s">
        <v>357</v>
      </c>
      <c r="B136" s="559"/>
      <c r="C136" s="559"/>
      <c r="D136" s="559"/>
      <c r="E136" s="559"/>
      <c r="F136" s="559"/>
      <c r="G136" s="559"/>
      <c r="H136" s="559"/>
      <c r="I136" s="559"/>
      <c r="J136" s="559"/>
      <c r="K136" s="559"/>
      <c r="L136" s="419"/>
      <c r="M136" s="222"/>
      <c r="N136" s="222"/>
      <c r="O136" s="222"/>
      <c r="P136" s="222"/>
    </row>
    <row r="138" spans="1:18" ht="15" x14ac:dyDescent="0.2">
      <c r="B138" s="223" t="s">
        <v>358</v>
      </c>
      <c r="C138" s="223"/>
      <c r="E138" s="223"/>
      <c r="F138" s="223"/>
      <c r="H138" s="224"/>
      <c r="I138" s="224"/>
      <c r="J138" s="224"/>
      <c r="K138" s="224"/>
      <c r="L138" s="224"/>
    </row>
    <row r="139" spans="1:18" ht="15.75" x14ac:dyDescent="0.25">
      <c r="A139" s="216"/>
      <c r="B139" s="247">
        <f>GRERJFINAL!C13</f>
        <v>0</v>
      </c>
      <c r="C139" s="216"/>
      <c r="D139" s="218"/>
      <c r="E139" s="223"/>
      <c r="F139" s="223"/>
      <c r="H139" s="224"/>
      <c r="I139" s="224"/>
      <c r="J139" s="224"/>
      <c r="K139" s="224"/>
      <c r="L139" s="224"/>
    </row>
    <row r="140" spans="1:18" ht="15" customHeight="1" x14ac:dyDescent="0.2">
      <c r="B140" s="560" t="str">
        <f>IF(GRERJFINAL!$P$9&lt;2,"","Valores corrigidos na proporção de")</f>
        <v/>
      </c>
      <c r="C140" s="560"/>
      <c r="D140" s="226" t="str">
        <f>IF(GRERJFINAL!$P$9&lt;2,"",IF(GRERJFINAL!G13="",O140,GRERJFINAL!G13))</f>
        <v/>
      </c>
      <c r="E140" s="212" t="str">
        <f>IF(GRERJFINAL!$P$9&lt;2,"","%")</f>
        <v/>
      </c>
      <c r="N140" s="213"/>
      <c r="O140" s="216" t="e">
        <f>IF(GRERJFINAL!G13="",ROUND(100/GRERJFINAL!$P$9,2),GRERJFINAL!G13)</f>
        <v>#DIV/0!</v>
      </c>
    </row>
    <row r="142" spans="1:18" ht="36.75" customHeight="1" x14ac:dyDescent="0.2">
      <c r="B142" s="227" t="s">
        <v>299</v>
      </c>
      <c r="C142" s="228" t="s">
        <v>300</v>
      </c>
      <c r="D142" s="561" t="s">
        <v>359</v>
      </c>
      <c r="E142" s="561"/>
      <c r="F142" s="561"/>
      <c r="G142" s="561"/>
      <c r="H142" s="562" t="s">
        <v>360</v>
      </c>
      <c r="I142" s="562"/>
      <c r="J142" s="562"/>
      <c r="K142" s="229"/>
      <c r="L142" s="229" t="s">
        <v>361</v>
      </c>
      <c r="M142" s="229" t="s">
        <v>362</v>
      </c>
      <c r="N142" s="214"/>
    </row>
    <row r="143" spans="1:18" ht="15" x14ac:dyDescent="0.2">
      <c r="B143" s="361" t="s">
        <v>304</v>
      </c>
      <c r="C143" s="362" t="s">
        <v>363</v>
      </c>
      <c r="D143" s="563">
        <f t="shared" ref="D143:D148" ca="1" si="15">ABS(O143)</f>
        <v>0</v>
      </c>
      <c r="E143" s="563"/>
      <c r="F143" s="563"/>
      <c r="G143" s="563"/>
      <c r="H143" s="564" t="str">
        <f t="shared" ref="H143:H148" ca="1" si="16">IF(O143=0,"",IF(M143&gt;L143,"A Recolher","A Maior"))</f>
        <v/>
      </c>
      <c r="I143" s="564"/>
      <c r="J143" s="564"/>
      <c r="K143" s="420"/>
      <c r="L143" s="230">
        <f>ROUNDDOWN(GRERJFINAL!$D$24/P143,2)</f>
        <v>0</v>
      </c>
      <c r="M143" s="230">
        <f t="shared" ref="M143:M148" ca="1" si="17">ROUNDDOWN(N143,2)</f>
        <v>0</v>
      </c>
      <c r="N143" s="231">
        <f ca="1">GRERJFINAL!$F$24/P143</f>
        <v>0</v>
      </c>
      <c r="O143" s="232">
        <f t="shared" ref="O143:O150" ca="1" si="18">ROUNDDOWN(L143-M143,2)</f>
        <v>0</v>
      </c>
      <c r="P143" s="212">
        <f>IF(GRERJFINAL!C13="",10000000000,IF(GRERJFINAL!G13="",GRERJFINAL!$P$9,100/GRERJFINAL!G13))</f>
        <v>10000000000</v>
      </c>
      <c r="Q143" s="213">
        <f t="shared" ref="Q143:Q150" ca="1" si="19">IF(H143="A Recolher",D143,0)</f>
        <v>0</v>
      </c>
    </row>
    <row r="144" spans="1:18" ht="15" x14ac:dyDescent="0.2">
      <c r="B144" s="363" t="s">
        <v>307</v>
      </c>
      <c r="C144" s="364" t="s">
        <v>308</v>
      </c>
      <c r="D144" s="557">
        <f t="shared" ca="1" si="15"/>
        <v>0</v>
      </c>
      <c r="E144" s="557"/>
      <c r="F144" s="557"/>
      <c r="G144" s="557"/>
      <c r="H144" s="558" t="str">
        <f t="shared" ca="1" si="16"/>
        <v/>
      </c>
      <c r="I144" s="558"/>
      <c r="J144" s="558"/>
      <c r="K144" s="420"/>
      <c r="L144" s="230">
        <f>ROUNDDOWN(GRERJFINAL!$D$26/P143,2)</f>
        <v>0</v>
      </c>
      <c r="M144" s="230">
        <f t="shared" ca="1" si="17"/>
        <v>0</v>
      </c>
      <c r="N144" s="233">
        <f ca="1">GRERJFINAL!$F$26/P143</f>
        <v>0</v>
      </c>
      <c r="O144" s="232">
        <f t="shared" ca="1" si="18"/>
        <v>0</v>
      </c>
      <c r="Q144" s="213">
        <f t="shared" ca="1" si="19"/>
        <v>0</v>
      </c>
    </row>
    <row r="145" spans="1:22" ht="15" x14ac:dyDescent="0.2">
      <c r="B145" s="363" t="s">
        <v>309</v>
      </c>
      <c r="C145" s="364" t="s">
        <v>310</v>
      </c>
      <c r="D145" s="557">
        <f t="shared" ca="1" si="15"/>
        <v>0</v>
      </c>
      <c r="E145" s="557"/>
      <c r="F145" s="557"/>
      <c r="G145" s="557"/>
      <c r="H145" s="558" t="str">
        <f t="shared" ca="1" si="16"/>
        <v/>
      </c>
      <c r="I145" s="558"/>
      <c r="J145" s="558"/>
      <c r="K145" s="420"/>
      <c r="L145" s="230">
        <f>ROUNDDOWN(GRERJFINAL!$D$28/P143,2)</f>
        <v>0</v>
      </c>
      <c r="M145" s="230">
        <f t="shared" ca="1" si="17"/>
        <v>0</v>
      </c>
      <c r="N145" s="231">
        <f ca="1">GRERJFINAL!$F$28/P143</f>
        <v>0</v>
      </c>
      <c r="O145" s="232">
        <f t="shared" ca="1" si="18"/>
        <v>0</v>
      </c>
      <c r="Q145" s="213">
        <f t="shared" ca="1" si="19"/>
        <v>0</v>
      </c>
    </row>
    <row r="146" spans="1:22" ht="15" x14ac:dyDescent="0.2">
      <c r="B146" s="363" t="s">
        <v>311</v>
      </c>
      <c r="C146" s="364" t="s">
        <v>312</v>
      </c>
      <c r="D146" s="557">
        <f t="shared" ca="1" si="15"/>
        <v>0</v>
      </c>
      <c r="E146" s="557"/>
      <c r="F146" s="557"/>
      <c r="G146" s="557"/>
      <c r="H146" s="558" t="str">
        <f t="shared" ca="1" si="16"/>
        <v/>
      </c>
      <c r="I146" s="558"/>
      <c r="J146" s="558"/>
      <c r="K146" s="420"/>
      <c r="L146" s="230">
        <f>ROUNDDOWN(GRERJFINAL!$D$30/P143,2)</f>
        <v>0</v>
      </c>
      <c r="M146" s="230">
        <f t="shared" ca="1" si="17"/>
        <v>0</v>
      </c>
      <c r="N146" s="233">
        <f ca="1">GRERJFINAL!$F$30/P143</f>
        <v>0</v>
      </c>
      <c r="O146" s="232">
        <f t="shared" ca="1" si="18"/>
        <v>0</v>
      </c>
      <c r="Q146" s="213">
        <f t="shared" ca="1" si="19"/>
        <v>0</v>
      </c>
    </row>
    <row r="147" spans="1:22" ht="15" x14ac:dyDescent="0.2">
      <c r="B147" s="363" t="s">
        <v>313</v>
      </c>
      <c r="C147" s="364" t="s">
        <v>314</v>
      </c>
      <c r="D147" s="557">
        <f t="shared" ca="1" si="15"/>
        <v>0</v>
      </c>
      <c r="E147" s="557"/>
      <c r="F147" s="557"/>
      <c r="G147" s="557"/>
      <c r="H147" s="558" t="str">
        <f t="shared" ca="1" si="16"/>
        <v/>
      </c>
      <c r="I147" s="558"/>
      <c r="J147" s="558"/>
      <c r="K147" s="420"/>
      <c r="L147" s="230">
        <f>ROUNDDOWN(GRERJFINAL!$D$33/P143,2)</f>
        <v>0</v>
      </c>
      <c r="M147" s="230">
        <f t="shared" ca="1" si="17"/>
        <v>0</v>
      </c>
      <c r="N147" s="233">
        <f ca="1">GRERJFINAL!$F$33/P143</f>
        <v>0</v>
      </c>
      <c r="O147" s="232">
        <f t="shared" ca="1" si="18"/>
        <v>0</v>
      </c>
      <c r="Q147" s="213">
        <f t="shared" ca="1" si="19"/>
        <v>0</v>
      </c>
    </row>
    <row r="148" spans="1:22" ht="15" x14ac:dyDescent="0.2">
      <c r="B148" s="363" t="s">
        <v>315</v>
      </c>
      <c r="C148" s="364" t="s">
        <v>316</v>
      </c>
      <c r="D148" s="557">
        <f t="shared" ca="1" si="15"/>
        <v>0</v>
      </c>
      <c r="E148" s="557"/>
      <c r="F148" s="557"/>
      <c r="G148" s="557"/>
      <c r="H148" s="558" t="str">
        <f t="shared" ca="1" si="16"/>
        <v/>
      </c>
      <c r="I148" s="558"/>
      <c r="J148" s="558"/>
      <c r="K148" s="420"/>
      <c r="L148" s="230">
        <f>ROUNDDOWN(GRERJFINAL!$D$35/P143,2)</f>
        <v>0</v>
      </c>
      <c r="M148" s="230">
        <f t="shared" ca="1" si="17"/>
        <v>0</v>
      </c>
      <c r="N148" s="231">
        <f ca="1">GRERJFINAL!$F$35/P143</f>
        <v>0</v>
      </c>
      <c r="O148" s="232">
        <f t="shared" ca="1" si="18"/>
        <v>0</v>
      </c>
      <c r="Q148" s="213">
        <f t="shared" ca="1" si="19"/>
        <v>0</v>
      </c>
    </row>
    <row r="149" spans="1:22" ht="15" customHeight="1" x14ac:dyDescent="0.2">
      <c r="B149" s="363" t="str">
        <f>IF('Atos Serv. Jud. Lei. 6369'!$O$299&gt;1,"ERRO",IF('Atos Serv. Jud. Lei. 6369'!$O$299=0,"",IF('Atos Serv. Jud. Lei. 6369'!$F$318=1,"1108-0",IF('Atos Serv. Jud. Lei. 6369'!$F$314=1,"1114-0","1108-0"))))</f>
        <v/>
      </c>
      <c r="C149" s="365" t="str">
        <f>IF('Atos Serv. Jud. Lei. 6369'!$O$299&gt;1,"ERRO",IF('Atos Serv. Jud. Lei. 6369'!$O$299=0,"",IF('Atos Serv. Jud. Lei. 6369'!$F$318=1,"Avaliação por Oficial de Justiça",IF('Atos Serv. Jud. Lei. 6369'!$F$314=1,"Central de Avaliadores da Capital","Atos dos Avaliadores Judiciais"))))</f>
        <v/>
      </c>
      <c r="D149" s="557" t="str">
        <f>IF(B149="","",ABS(O149))</f>
        <v/>
      </c>
      <c r="E149" s="557"/>
      <c r="F149" s="557"/>
      <c r="G149" s="557"/>
      <c r="H149" s="558" t="str">
        <f>IF(B149="","",IF(O149=0,"",IF(M149&gt;L149,"A Recolher","A Maior")))</f>
        <v/>
      </c>
      <c r="I149" s="558"/>
      <c r="J149" s="558"/>
      <c r="K149" s="234"/>
      <c r="L149" s="235">
        <f>IF(B149="",0,ROUNDDOWN(GRERJFINAL!$D$37/P143,2))</f>
        <v>0</v>
      </c>
      <c r="M149" s="235">
        <f>IF(B149="",0,ROUNDDOWN(N149,2))</f>
        <v>0</v>
      </c>
      <c r="N149" s="231">
        <f ca="1">GRERJFINAL!$F$37/P143</f>
        <v>0</v>
      </c>
      <c r="O149" s="232">
        <f t="shared" si="18"/>
        <v>0</v>
      </c>
      <c r="Q149" s="213">
        <f t="shared" si="19"/>
        <v>0</v>
      </c>
    </row>
    <row r="150" spans="1:22" ht="15" x14ac:dyDescent="0.2">
      <c r="B150" s="363" t="str">
        <f>IF(GRERJFINAL!$C$39="Avaliador Judicial",GRERJFINAL!$B$39,"")</f>
        <v/>
      </c>
      <c r="C150" s="364" t="str">
        <f>IF('Atos Serv. Jud. Lei. 6369'!$O$299&gt;1,"ERRO",IF('Atos Serv. Jud. Lei. 6369'!$F$316=1,"Avaliador Judicial",""))</f>
        <v/>
      </c>
      <c r="D150" s="557" t="str">
        <f>IF(B150="","",ABS(O150))</f>
        <v/>
      </c>
      <c r="E150" s="557"/>
      <c r="F150" s="557"/>
      <c r="G150" s="557"/>
      <c r="H150" s="558" t="str">
        <f>IF(B150="","",IF(O150=0,"",IF(M150&gt;L150,"A Recolher","A Maior")))</f>
        <v/>
      </c>
      <c r="I150" s="558"/>
      <c r="J150" s="558"/>
      <c r="K150" s="420"/>
      <c r="L150" s="230">
        <f>IF(B150="",0,IF(GRERJFINAL!$C$39="Avaliador Judicial",ROUNDDOWN(GRERJFINAL!$D$39/P143,2),0))</f>
        <v>0</v>
      </c>
      <c r="M150" s="230">
        <f>IF(B150="",0,ROUNDDOWN(N150,2))</f>
        <v>0</v>
      </c>
      <c r="N150" s="231">
        <f ca="1">GRERJFINAL!$F$39/P143</f>
        <v>0</v>
      </c>
      <c r="O150" s="232">
        <f t="shared" si="18"/>
        <v>0</v>
      </c>
      <c r="Q150" s="213">
        <f t="shared" si="19"/>
        <v>0</v>
      </c>
    </row>
    <row r="151" spans="1:22" ht="15" x14ac:dyDescent="0.2">
      <c r="B151" s="366" t="s">
        <v>317</v>
      </c>
      <c r="C151" s="367" t="s">
        <v>318</v>
      </c>
      <c r="D151" s="557">
        <f ca="1">Q151</f>
        <v>0</v>
      </c>
      <c r="E151" s="557"/>
      <c r="F151" s="557"/>
      <c r="G151" s="557"/>
      <c r="H151" s="558" t="str">
        <f ca="1">IF(D151=0,"",IF(D151="","","A Recolher"))</f>
        <v/>
      </c>
      <c r="I151" s="558"/>
      <c r="J151" s="558"/>
      <c r="K151" s="420"/>
      <c r="L151" s="230"/>
      <c r="M151" s="230"/>
      <c r="N151" s="233"/>
      <c r="O151" s="232"/>
      <c r="Q151" s="213">
        <f ca="1">ROUNDDOWN(SUM(Q143:Q150)*0.1,2)</f>
        <v>0</v>
      </c>
      <c r="V151" s="359"/>
    </row>
    <row r="152" spans="1:22" ht="15" x14ac:dyDescent="0.2">
      <c r="A152" s="213"/>
      <c r="B152" s="368" t="str">
        <f>S152</f>
        <v/>
      </c>
      <c r="C152" s="369" t="str">
        <f ca="1">IF(D152="ERRO","Mais de um distribuidor marcado","Atos dos Distribuidores")</f>
        <v>Atos dos Distribuidores</v>
      </c>
      <c r="D152" s="557">
        <f ca="1">IF(GRERJFINAL!F158="ERRO","ERRO",ABS(O152))</f>
        <v>0</v>
      </c>
      <c r="E152" s="557"/>
      <c r="F152" s="557"/>
      <c r="G152" s="557"/>
      <c r="H152" s="558" t="str">
        <f ca="1">IF(D152="ERRO","ERRO",IF(O152=0,"",IF(M152&gt;L152,"A Recolher","A Maior")))</f>
        <v/>
      </c>
      <c r="I152" s="558"/>
      <c r="J152" s="558"/>
      <c r="K152" s="420"/>
      <c r="L152" s="230">
        <f>ROUNDDOWN(GRERJFINAL!$D$43/P143,2)</f>
        <v>0</v>
      </c>
      <c r="M152" s="230">
        <f ca="1">ROUNDDOWN(N152,2)</f>
        <v>0</v>
      </c>
      <c r="N152" s="233">
        <f ca="1">GRERJFINAL!$F$43/P143</f>
        <v>0</v>
      </c>
      <c r="O152" s="232">
        <f ca="1">ROUNDDOWN(L152-M152,2)</f>
        <v>0</v>
      </c>
      <c r="Q152" s="213">
        <f ca="1">IF(H152="A Recolher",D152,0)</f>
        <v>0</v>
      </c>
      <c r="S152" s="212" t="str">
        <f>IF('Atos Serv. Jud. Lei. 6369'!$E$433&gt;0,"2102-2",IF('Atos Serv. Jud. Lei. 6369'!$E$435&gt;0,"3071-0024739-1",IF('Atos Serv. Jud. Lei. 6369'!$E$437&gt;0,"0065-0210279-0",IF('Atos Serv. Jud. Lei. 6369'!$E$439,"0445-0137200-9",IF('Atos Serv. Jud. Lei. 6369'!$E$441&gt;0,"1669-0012095-2","")))))</f>
        <v/>
      </c>
      <c r="V152" s="359"/>
    </row>
    <row r="153" spans="1:22" ht="15" x14ac:dyDescent="0.2">
      <c r="A153" s="213"/>
      <c r="B153" s="370" t="str">
        <f>IF('Atos Serv. Jud. Lei. 6369'!$E$433&gt;0,"2701-1",IF('Atos Serv. Jud. Lei. 6369'!$E$435&gt;0,"2702-9",IF('Atos Serv. Jud. Lei. 6369'!$E$437&gt;0,"2703-7",IF('Atos Serv. Jud. Lei. 6369'!$E$439,"2704-5",IF('Atos Serv. Jud. Lei. 6369'!$E$441,"2705-2","")))))</f>
        <v/>
      </c>
      <c r="C153" s="369" t="str">
        <f>IF(B153="","","Distribuidores (Aviso TJ Nº 22/2013)")</f>
        <v/>
      </c>
      <c r="D153" s="557" t="str">
        <f>IF(B153="","",ABS(O153))</f>
        <v/>
      </c>
      <c r="E153" s="557"/>
      <c r="F153" s="557"/>
      <c r="G153" s="557"/>
      <c r="H153" s="558" t="str">
        <f>IF(B153="","",IF(O153=0,"",IF(M153&gt;L153,"A Recolher","A Maior")))</f>
        <v/>
      </c>
      <c r="I153" s="558"/>
      <c r="J153" s="558"/>
      <c r="K153" s="420"/>
      <c r="L153" s="230">
        <f>ROUNDDOWN(GRERJFINAL!$D$45/P143,2)</f>
        <v>0</v>
      </c>
      <c r="M153" s="230">
        <f ca="1">ROUNDDOWN(N153,2)</f>
        <v>0</v>
      </c>
      <c r="N153" s="233">
        <f ca="1">GRERJFINAL!$F$45/P143</f>
        <v>0</v>
      </c>
      <c r="O153" s="232">
        <f ca="1">ROUNDDOWN(L153-M153,2)</f>
        <v>0</v>
      </c>
      <c r="Q153" s="213">
        <f>IF(H153="A Recolher",D153,0)</f>
        <v>0</v>
      </c>
    </row>
    <row r="154" spans="1:22" ht="15" x14ac:dyDescent="0.2">
      <c r="B154" s="368" t="s">
        <v>321</v>
      </c>
      <c r="C154" s="364" t="s">
        <v>322</v>
      </c>
      <c r="D154" s="557">
        <f ca="1">Q154</f>
        <v>0</v>
      </c>
      <c r="E154" s="557"/>
      <c r="F154" s="557"/>
      <c r="G154" s="557"/>
      <c r="H154" s="558" t="str">
        <f ca="1">IF(D154=0,"",IF(D154="","","A Recolher"))</f>
        <v/>
      </c>
      <c r="I154" s="558"/>
      <c r="J154" s="558"/>
      <c r="K154" s="420"/>
      <c r="L154" s="230"/>
      <c r="M154" s="230"/>
      <c r="N154" s="233"/>
      <c r="O154" s="232"/>
      <c r="Q154" s="213">
        <f ca="1">IF((Q152+Q158+Q160+Q162+Q164)=0,0,ROUNDDOWN((Q152+Q158+Q160+Q162+Q164)*0.2,2))</f>
        <v>0</v>
      </c>
    </row>
    <row r="155" spans="1:22" ht="15" x14ac:dyDescent="0.2">
      <c r="B155" s="363" t="s">
        <v>323</v>
      </c>
      <c r="C155" s="364" t="s">
        <v>324</v>
      </c>
      <c r="D155" s="557">
        <f ca="1">ABS(O155)</f>
        <v>0</v>
      </c>
      <c r="E155" s="557"/>
      <c r="F155" s="557"/>
      <c r="G155" s="557"/>
      <c r="H155" s="558" t="str">
        <f ca="1">IF(O155=0,"",IF(M155&gt;L155,"A Recolher","A Maior"))</f>
        <v/>
      </c>
      <c r="I155" s="558"/>
      <c r="J155" s="558"/>
      <c r="K155" s="420"/>
      <c r="L155" s="230">
        <f>ROUNDDOWN(GRERJFINAL!$D$49/P143,2)</f>
        <v>0</v>
      </c>
      <c r="M155" s="230">
        <f ca="1">ROUNDDOWN(N155,2)</f>
        <v>0</v>
      </c>
      <c r="N155" s="231">
        <f ca="1">GRERJFINAL!$F$49/P143</f>
        <v>0</v>
      </c>
      <c r="O155" s="232">
        <f ca="1">ROUNDDOWN(L155-M155,2)</f>
        <v>0</v>
      </c>
      <c r="P155" s="139"/>
      <c r="Q155" s="213">
        <f ca="1">IF(H155="A Recolher",D155,0)</f>
        <v>0</v>
      </c>
      <c r="R155" s="139"/>
    </row>
    <row r="156" spans="1:22" ht="15" x14ac:dyDescent="0.2">
      <c r="B156" s="363" t="s">
        <v>364</v>
      </c>
      <c r="C156" s="364" t="s">
        <v>326</v>
      </c>
      <c r="D156" s="557">
        <f ca="1">Q156</f>
        <v>0</v>
      </c>
      <c r="E156" s="557"/>
      <c r="F156" s="557"/>
      <c r="G156" s="557"/>
      <c r="H156" s="558" t="str">
        <f ca="1">IF(D156=0,"",IF(D156="","","A Recolher"))</f>
        <v/>
      </c>
      <c r="I156" s="558"/>
      <c r="J156" s="558"/>
      <c r="K156" s="420"/>
      <c r="L156" s="230"/>
      <c r="M156" s="230"/>
      <c r="N156" s="233"/>
      <c r="O156" s="232"/>
      <c r="Q156" s="213">
        <f ca="1">ROUNDDOWN((SUM(Q143:Q150)+Q152+Q158+Q160+Q162+Q164)*0.05,2)</f>
        <v>0</v>
      </c>
    </row>
    <row r="157" spans="1:22" ht="15" x14ac:dyDescent="0.2">
      <c r="B157" s="363" t="s">
        <v>365</v>
      </c>
      <c r="C157" s="371" t="s">
        <v>328</v>
      </c>
      <c r="D157" s="567">
        <f ca="1">D156</f>
        <v>0</v>
      </c>
      <c r="E157" s="567"/>
      <c r="F157" s="567"/>
      <c r="G157" s="567"/>
      <c r="H157" s="591" t="str">
        <f ca="1">IF(D157=0,"",IF(D157="","","A Recolher"))</f>
        <v/>
      </c>
      <c r="I157" s="591"/>
      <c r="J157" s="591"/>
      <c r="K157" s="420"/>
      <c r="L157" s="230"/>
      <c r="M157" s="230"/>
      <c r="N157" s="233"/>
      <c r="O157" s="232"/>
      <c r="Q157" s="213">
        <f ca="1">Q156</f>
        <v>0</v>
      </c>
    </row>
    <row r="158" spans="1:22" ht="15" x14ac:dyDescent="0.2">
      <c r="B158" s="363" t="str">
        <f>S158</f>
        <v/>
      </c>
      <c r="C158" s="369" t="str">
        <f>IF(B158="","",IF(D158="ERRO","Mais de um distribuidor marcado","Atos dos Distribuidores"))</f>
        <v/>
      </c>
      <c r="D158" s="565">
        <f>IF(GRERJFINAL!F170="ERRO","ERRO",IF(B158="",0,ABS(O158)))</f>
        <v>0</v>
      </c>
      <c r="E158" s="565"/>
      <c r="F158" s="565"/>
      <c r="G158" s="565"/>
      <c r="H158" s="558" t="str">
        <f>IF(D158="ERRO","ERRO",IF(B158="","",IF(O158=0,"",IF(M158&gt;L158,"A Recolher","A Maior"))))</f>
        <v/>
      </c>
      <c r="I158" s="558"/>
      <c r="J158" s="558"/>
      <c r="K158" s="420"/>
      <c r="L158" s="230">
        <f>IF(B158="",0,ROUNDDOWN(GRERJFINAL!$D$55/P143,2))</f>
        <v>0</v>
      </c>
      <c r="M158" s="230">
        <f t="shared" ref="M158:M165" si="20">IF(B158="",0,ROUNDDOWN(N158,2))</f>
        <v>0</v>
      </c>
      <c r="N158" s="226">
        <f ca="1">GRERJFINAL!$F$55/P143</f>
        <v>0</v>
      </c>
      <c r="O158" s="232">
        <f t="shared" ref="O158:O169" si="21">ROUNDDOWN(L158-M158,2)</f>
        <v>0</v>
      </c>
      <c r="Q158" s="213">
        <f t="shared" ref="Q158:Q169" si="22">IF(H158="A Recolher",D158,0)</f>
        <v>0</v>
      </c>
      <c r="S158" s="212" t="str">
        <f>IF('Atos Serv. Jud. Lei. 6369'!$E$457&gt;0,"2102-2",IF('Atos Serv. Jud. Lei. 6369'!$E$459&gt;0,"3071-0024739-1",IF('Atos Serv. Jud. Lei. 6369'!$E$461&gt;0,"0065-0210279-0",IF('Atos Serv. Jud. Lei. 6369'!$E$463,"0445-0137200-9",IF('Atos Serv. Jud. Lei. 6369'!$E$465&gt;0,"1669-0012095-2","")))))</f>
        <v/>
      </c>
    </row>
    <row r="159" spans="1:22" ht="15" x14ac:dyDescent="0.2">
      <c r="B159" s="372" t="str">
        <f>IF('Atos Serv. Jud. Lei. 6369'!$E$457&gt;0,"2701-1",IF('Atos Serv. Jud. Lei. 6369'!$E$459&gt;0,"2702-9",IF('Atos Serv. Jud. Lei. 6369'!$E$461&gt;0,"2703-7",IF('Atos Serv. Jud. Lei. 6369'!$E$463,"2704-5",IF('Atos Serv. Jud. Lei. 6369'!$E$465,"2705-2","")))))</f>
        <v/>
      </c>
      <c r="C159" s="369" t="str">
        <f>IF(B159="","","Distribuidores (Aviso TJ Nº 22/2013)")</f>
        <v/>
      </c>
      <c r="D159" s="557" t="str">
        <f>IF(B159="","",ABS(O159))</f>
        <v/>
      </c>
      <c r="E159" s="557"/>
      <c r="F159" s="557"/>
      <c r="G159" s="557"/>
      <c r="H159" s="558" t="str">
        <f>IF(B159="","",IF(O159=0,"",IF(M159&gt;L159,"A Recolher","A Maior")))</f>
        <v/>
      </c>
      <c r="I159" s="558"/>
      <c r="J159" s="558"/>
      <c r="K159" s="420"/>
      <c r="L159" s="230">
        <f>IF(B159="",0,ROUNDDOWN(GRERJFINAL!$D$57/P143,2))</f>
        <v>0</v>
      </c>
      <c r="M159" s="230">
        <f t="shared" si="20"/>
        <v>0</v>
      </c>
      <c r="N159" s="226">
        <f ca="1">GRERJFINAL!$F$57/P143</f>
        <v>0</v>
      </c>
      <c r="O159" s="232">
        <f t="shared" si="21"/>
        <v>0</v>
      </c>
      <c r="Q159" s="213">
        <f t="shared" si="22"/>
        <v>0</v>
      </c>
    </row>
    <row r="160" spans="1:22" ht="15" x14ac:dyDescent="0.2">
      <c r="B160" s="373" t="str">
        <f>S160</f>
        <v/>
      </c>
      <c r="C160" s="374" t="str">
        <f>IF(B160="","",IF(D160="ERRO","Mais de um distribuidor marcado","Atos dos Distribuidores"))</f>
        <v/>
      </c>
      <c r="D160" s="565">
        <f>IF(GRERJFINAL!F174="ERRO","ERRO",IF(B160="",0,ABS(O160)))</f>
        <v>0</v>
      </c>
      <c r="E160" s="565"/>
      <c r="F160" s="565"/>
      <c r="G160" s="565"/>
      <c r="H160" s="566" t="str">
        <f>IF(D160="ERRO","ERRO",IF(B160="","",IF(O160=0,"",IF(M160&gt;L160,"A Recolher","A Maior"))))</f>
        <v/>
      </c>
      <c r="I160" s="566"/>
      <c r="J160" s="566"/>
      <c r="K160" s="420"/>
      <c r="L160" s="230">
        <f>IF(B160="",0,ROUNDDOWN(GRERJFINAL!$D$59/P143,2))</f>
        <v>0</v>
      </c>
      <c r="M160" s="230">
        <f t="shared" si="20"/>
        <v>0</v>
      </c>
      <c r="N160" s="226">
        <f ca="1">GRERJFINAL!$F$59/P143</f>
        <v>0</v>
      </c>
      <c r="O160" s="232">
        <f t="shared" si="21"/>
        <v>0</v>
      </c>
      <c r="Q160" s="213">
        <f t="shared" si="22"/>
        <v>0</v>
      </c>
      <c r="S160" s="212" t="str">
        <f>IF('Atos Serv. Jud. Lei. 6369'!$E$481&gt;0,"2102-2",IF('Atos Serv. Jud. Lei. 6369'!$E$483&gt;0,"3071-0024739-1",IF('Atos Serv. Jud. Lei. 6369'!$E$485&gt;0,"0065-0210279-0",IF('Atos Serv. Jud. Lei. 6369'!$E$487,"0445-0137200-9",IF('Atos Serv. Jud. Lei. 6369'!$E$489&gt;0,"1669-0012095-2","")))))</f>
        <v/>
      </c>
    </row>
    <row r="161" spans="1:19" ht="15" x14ac:dyDescent="0.2">
      <c r="B161" s="375" t="str">
        <f>IF('Atos Serv. Jud. Lei. 6369'!$E$481&gt;0,"2701-1",IF('Atos Serv. Jud. Lei. 6369'!$E$483&gt;0,"2702-9",IF('Atos Serv. Jud. Lei. 6369'!$E$485&gt;0,"2703-7",IF('Atos Serv. Jud. Lei. 6369'!$E$487,"2704-5",IF('Atos Serv. Jud. Lei. 6369'!$E$489,"2705-2","")))))</f>
        <v/>
      </c>
      <c r="C161" s="376" t="str">
        <f>IF(B161="","","Distribuidores (Aviso TJ Nº 22/2013)")</f>
        <v/>
      </c>
      <c r="D161" s="557" t="str">
        <f>IF(B161="","",ABS(O161))</f>
        <v/>
      </c>
      <c r="E161" s="557"/>
      <c r="F161" s="557"/>
      <c r="G161" s="557"/>
      <c r="H161" s="558" t="str">
        <f>IF(B161="","",IF(O161=0,"",IF(M161&gt;L161,"A Recolher","A Maior")))</f>
        <v/>
      </c>
      <c r="I161" s="558"/>
      <c r="J161" s="558"/>
      <c r="K161" s="420"/>
      <c r="L161" s="230">
        <f>IF(B161="",0,ROUNDDOWN(GRERJFINAL!$D$61/P143,2))</f>
        <v>0</v>
      </c>
      <c r="M161" s="230">
        <f t="shared" si="20"/>
        <v>0</v>
      </c>
      <c r="N161" s="226">
        <f ca="1">GRERJFINAL!$F$61/P143</f>
        <v>0</v>
      </c>
      <c r="O161" s="232">
        <f t="shared" si="21"/>
        <v>0</v>
      </c>
      <c r="Q161" s="213">
        <f t="shared" si="22"/>
        <v>0</v>
      </c>
    </row>
    <row r="162" spans="1:19" ht="15" x14ac:dyDescent="0.2">
      <c r="B162" s="375" t="str">
        <f>S162</f>
        <v/>
      </c>
      <c r="C162" s="374" t="str">
        <f>IF(B162="","",IF(D162="ERRO","Mais de um distribuidor marcado","Atos dos Distribuidores"))</f>
        <v/>
      </c>
      <c r="D162" s="565">
        <f>IF(GRERJFINAL!F178="ERRO","ERRO",IF(B162="",0,ABS(O162)))</f>
        <v>0</v>
      </c>
      <c r="E162" s="565"/>
      <c r="F162" s="565"/>
      <c r="G162" s="565"/>
      <c r="H162" s="566" t="str">
        <f>IF(D162="ERRO","ERRO",IF(B162="","",IF(O162=0,"",IF(M162&gt;L162,"A Recolher","A Maior"))))</f>
        <v/>
      </c>
      <c r="I162" s="566"/>
      <c r="J162" s="566"/>
      <c r="K162" s="420"/>
      <c r="L162" s="230">
        <f>IF(B162="",0,ROUNDDOWN(GRERJFINAL!$D$63/P143,2))</f>
        <v>0</v>
      </c>
      <c r="M162" s="230">
        <f t="shared" si="20"/>
        <v>0</v>
      </c>
      <c r="N162" s="226">
        <f ca="1">GRERJFINAL!$F$63/P143</f>
        <v>0</v>
      </c>
      <c r="O162" s="232">
        <f t="shared" si="21"/>
        <v>0</v>
      </c>
      <c r="Q162" s="213">
        <f t="shared" si="22"/>
        <v>0</v>
      </c>
      <c r="S162" s="212" t="str">
        <f>IF('Atos Serv. Jud. Lei. 6369'!$E$505&gt;0,"2102-2",IF('Atos Serv. Jud. Lei. 6369'!$E$507&gt;0,"3071-0024739-1",IF('Atos Serv. Jud. Lei. 6369'!$E$509&gt;0,"0065-0210279-0",IF('Atos Serv. Jud. Lei. 6369'!$E$511,"0445-0137200-9",IF('Atos Serv. Jud. Lei. 6369'!$E$513&gt;0,"1669-0012095-2","")))))</f>
        <v/>
      </c>
    </row>
    <row r="163" spans="1:19" ht="15" x14ac:dyDescent="0.2">
      <c r="B163" s="375" t="str">
        <f>IF('Atos Serv. Jud. Lei. 6369'!$E$505&gt;0,"2701-1",IF('Atos Serv. Jud. Lei. 6369'!$E$507&gt;0,"2702-9",IF('Atos Serv. Jud. Lei. 6369'!$E$509&gt;0,"2703-7",IF('Atos Serv. Jud. Lei. 6369'!$E$511,"2704-5",IF('Atos Serv. Jud. Lei. 6369'!$E$513,"2705-2","")))))</f>
        <v/>
      </c>
      <c r="C163" s="374" t="str">
        <f>IF(B163="","","Distribuidores (Aviso TJ Nº 22/2013)")</f>
        <v/>
      </c>
      <c r="D163" s="557" t="str">
        <f>IF(B163="","",ABS(O163))</f>
        <v/>
      </c>
      <c r="E163" s="557"/>
      <c r="F163" s="557"/>
      <c r="G163" s="557"/>
      <c r="H163" s="558" t="str">
        <f>IF(B163="","",IF(O163=0,"",IF(M163&gt;L163,"A Recolher","A Maior")))</f>
        <v/>
      </c>
      <c r="I163" s="558"/>
      <c r="J163" s="558"/>
      <c r="K163" s="420"/>
      <c r="L163" s="230">
        <f>IF(B163="",0,ROUNDDOWN(GRERJFINAL!$D$65/P143,2))</f>
        <v>0</v>
      </c>
      <c r="M163" s="230">
        <f t="shared" si="20"/>
        <v>0</v>
      </c>
      <c r="N163" s="226">
        <f ca="1">GRERJFINAL!$F$65/P143</f>
        <v>0</v>
      </c>
      <c r="O163" s="232">
        <f t="shared" si="21"/>
        <v>0</v>
      </c>
      <c r="Q163" s="213">
        <f t="shared" si="22"/>
        <v>0</v>
      </c>
    </row>
    <row r="164" spans="1:19" ht="12.75" customHeight="1" x14ac:dyDescent="0.2">
      <c r="B164" s="375" t="str">
        <f>S164</f>
        <v/>
      </c>
      <c r="C164" s="374" t="str">
        <f>IF(B164="","",IF(D164="ERRO","Mais de um distribuidor marcado","Atos dos Distribuidores"))</f>
        <v/>
      </c>
      <c r="D164" s="565">
        <f>IF(GRERJFINAL!F182="ERRO","ERRO",IF(B164="",0,ABS(O164)))</f>
        <v>0</v>
      </c>
      <c r="E164" s="565"/>
      <c r="F164" s="565"/>
      <c r="G164" s="565"/>
      <c r="H164" s="566" t="str">
        <f>IF(D164="ERRO","ERRO",IF(B164="","",IF(O164=0,"",IF(M164&gt;L164,"A Recolher","A Maior"))))</f>
        <v/>
      </c>
      <c r="I164" s="566"/>
      <c r="J164" s="566"/>
      <c r="K164" s="420"/>
      <c r="L164" s="230">
        <f>IF(B164="",0,ROUNDDOWN(GRERJFINAL!$D$67/P143,2))</f>
        <v>0</v>
      </c>
      <c r="M164" s="230">
        <f t="shared" si="20"/>
        <v>0</v>
      </c>
      <c r="N164" s="226">
        <f ca="1">GRERJFINAL!$F$67/P143</f>
        <v>0</v>
      </c>
      <c r="O164" s="232">
        <f t="shared" si="21"/>
        <v>0</v>
      </c>
      <c r="Q164" s="213">
        <f t="shared" si="22"/>
        <v>0</v>
      </c>
      <c r="S164" s="212" t="str">
        <f>IF('Atos Serv. Jud. Lei. 6369'!$E$529&gt;0,"2102-2",IF('Atos Serv. Jud. Lei. 6369'!$E$531&gt;0,"3071-0024739-1",IF('Atos Serv. Jud. Lei. 6369'!$E$533&gt;0,"0065-0210279-0",IF('Atos Serv. Jud. Lei. 6369'!$E$535,"0445-0137200-9",IF('Atos Serv. Jud. Lei. 6369'!$E$537&gt;0,"1669-0012095-2","")))))</f>
        <v/>
      </c>
    </row>
    <row r="165" spans="1:19" ht="15" x14ac:dyDescent="0.2">
      <c r="B165" s="375" t="str">
        <f>IF('Atos Serv. Jud. Lei. 6369'!$E$529&gt;0,"2701-1",IF('Atos Serv. Jud. Lei. 6369'!$E$531&gt;0,"2702-9",IF('Atos Serv. Jud. Lei. 6369'!$E$533&gt;0,"2703-7",IF('Atos Serv. Jud. Lei. 6369'!$E$535,"2704-5",IF('Atos Serv. Jud. Lei. 6369'!$E$537,"2705-2","")))))</f>
        <v/>
      </c>
      <c r="C165" s="374" t="str">
        <f>IF(B165="","","Distribuidores (Aviso TJ Nº 22/2013)")</f>
        <v/>
      </c>
      <c r="D165" s="557" t="str">
        <f>IF(B165="","",ABS(O165))</f>
        <v/>
      </c>
      <c r="E165" s="557"/>
      <c r="F165" s="557"/>
      <c r="G165" s="557"/>
      <c r="H165" s="558" t="str">
        <f>IF(B165="","",IF(O165=0,"",IF(M165&gt;L165,"A Recolher","A Maior")))</f>
        <v/>
      </c>
      <c r="I165" s="558"/>
      <c r="J165" s="558"/>
      <c r="K165" s="420"/>
      <c r="L165" s="230">
        <f>IF(B165="",0,ROUNDDOWN(GRERJFINAL!$D$69/P143,2))</f>
        <v>0</v>
      </c>
      <c r="M165" s="230">
        <f t="shared" si="20"/>
        <v>0</v>
      </c>
      <c r="N165" s="226">
        <f ca="1">GRERJFINAL!$F$69/P143</f>
        <v>0</v>
      </c>
      <c r="O165" s="232">
        <f t="shared" si="21"/>
        <v>0</v>
      </c>
      <c r="Q165" s="213">
        <f t="shared" si="22"/>
        <v>0</v>
      </c>
    </row>
    <row r="166" spans="1:19" ht="12.75" customHeight="1" x14ac:dyDescent="0.2">
      <c r="B166" s="386" t="str">
        <f ca="1">IF(D166=0,"","2111-1")</f>
        <v/>
      </c>
      <c r="C166" s="376" t="str">
        <f ca="1">IF(D166=0,"","Multa para Litigância de Má-Fé")</f>
        <v/>
      </c>
      <c r="D166" s="565">
        <f ca="1">ABS(O166)</f>
        <v>0</v>
      </c>
      <c r="E166" s="565"/>
      <c r="F166" s="565"/>
      <c r="G166" s="565"/>
      <c r="H166" s="566" t="str">
        <f ca="1">IF(O166=0,"",IF(M166&gt;L166,"A Recolher","A Maior"))</f>
        <v/>
      </c>
      <c r="I166" s="566"/>
      <c r="J166" s="566"/>
      <c r="K166" s="420"/>
      <c r="L166" s="230">
        <f>ROUNDDOWN(GRERJFINAL!$D$71/P143,2)</f>
        <v>0</v>
      </c>
      <c r="M166" s="230">
        <f ca="1">ROUNDDOWN(N166,2)</f>
        <v>0</v>
      </c>
      <c r="N166" s="226">
        <f ca="1">GRERJFINAL!$F$71/P143</f>
        <v>0</v>
      </c>
      <c r="O166" s="232">
        <f t="shared" ca="1" si="21"/>
        <v>0</v>
      </c>
      <c r="Q166" s="213">
        <f t="shared" ca="1" si="22"/>
        <v>0</v>
      </c>
    </row>
    <row r="167" spans="1:19" ht="12.75" customHeight="1" x14ac:dyDescent="0.2">
      <c r="B167" s="377" t="str">
        <f ca="1">IF(D167=0,"","2210-3")</f>
        <v/>
      </c>
      <c r="C167" s="378" t="str">
        <f ca="1">IF(D167=0,"","Reembolso de Auxílio Pericial")</f>
        <v/>
      </c>
      <c r="D167" s="597">
        <f ca="1">ABS(O167)</f>
        <v>0</v>
      </c>
      <c r="E167" s="597"/>
      <c r="F167" s="597"/>
      <c r="G167" s="597"/>
      <c r="H167" s="571" t="str">
        <f ca="1">IF(O167=0,"",IF(M167&gt;L167,"A Recolher","A Maior"))</f>
        <v/>
      </c>
      <c r="I167" s="571"/>
      <c r="J167" s="571"/>
      <c r="K167" s="420"/>
      <c r="L167" s="230">
        <f>ROUNDDOWN(GRERJFINAL!$D$73/P143,2)</f>
        <v>0</v>
      </c>
      <c r="M167" s="230">
        <f ca="1">ROUNDDOWN(N167,2)</f>
        <v>0</v>
      </c>
      <c r="N167" s="226">
        <f ca="1">GRERJFINAL!$F$73/P143</f>
        <v>0</v>
      </c>
      <c r="O167" s="232">
        <f t="shared" ca="1" si="21"/>
        <v>0</v>
      </c>
      <c r="Q167" s="213">
        <f t="shared" ca="1" si="22"/>
        <v>0</v>
      </c>
    </row>
    <row r="168" spans="1:19" ht="15" x14ac:dyDescent="0.2">
      <c r="A168" s="358"/>
      <c r="B168" s="389" t="str">
        <f ca="1">IF(D168=0,"","2212-9")</f>
        <v/>
      </c>
      <c r="C168" s="360" t="str">
        <f ca="1">IF(D168=0,"","Diversos")</f>
        <v/>
      </c>
      <c r="D168" s="572">
        <f ca="1">ABS(O168)</f>
        <v>0</v>
      </c>
      <c r="E168" s="573"/>
      <c r="F168" s="573"/>
      <c r="G168" s="574"/>
      <c r="H168" s="598" t="str">
        <f ca="1">IF(O168=0,"",IF(M168&gt;L168,"A Recolher","A Maior"))</f>
        <v/>
      </c>
      <c r="I168" s="599"/>
      <c r="J168" s="600"/>
      <c r="K168" s="420"/>
      <c r="L168" s="230">
        <f>ROUNDDOWN(GRERJFINAL!$D$75/P143,2)</f>
        <v>0</v>
      </c>
      <c r="M168" s="230">
        <f ca="1">ROUNDDOWN(N168,2)</f>
        <v>0</v>
      </c>
      <c r="N168" s="226">
        <f ca="1">GRERJFINAL!$F$75/P143</f>
        <v>0</v>
      </c>
      <c r="O168" s="232">
        <f t="shared" ca="1" si="21"/>
        <v>0</v>
      </c>
      <c r="Q168" s="213">
        <f t="shared" ca="1" si="22"/>
        <v>0</v>
      </c>
      <c r="S168" s="359"/>
    </row>
    <row r="169" spans="1:19" ht="15.75" thickBot="1" x14ac:dyDescent="0.25">
      <c r="A169" s="359"/>
      <c r="B169" s="389" t="str">
        <f ca="1">IF(D169=0,"","6246-0088011-6")</f>
        <v/>
      </c>
      <c r="C169" s="360" t="str">
        <f ca="1">IF(D169=0,"","Mediação/Conciliação")</f>
        <v/>
      </c>
      <c r="D169" s="572">
        <f ca="1">ABS(O169)</f>
        <v>0</v>
      </c>
      <c r="E169" s="573"/>
      <c r="F169" s="573"/>
      <c r="G169" s="574"/>
      <c r="H169" s="598" t="str">
        <f ca="1">IF(O169=0,"",IF(M169&gt;L169,"A Recolher","A Maior"))</f>
        <v/>
      </c>
      <c r="I169" s="599"/>
      <c r="J169" s="600"/>
      <c r="K169" s="420"/>
      <c r="L169" s="230">
        <f>ROUNDDOWN(GRERJFINAL!$D$77/P143,2)</f>
        <v>0</v>
      </c>
      <c r="M169" s="230">
        <f ca="1">ROUNDDOWN(N169,2)</f>
        <v>0</v>
      </c>
      <c r="N169" s="226">
        <f ca="1">GRERJFINAL!$F$77/P143</f>
        <v>0</v>
      </c>
      <c r="O169" s="232">
        <f t="shared" ca="1" si="21"/>
        <v>0</v>
      </c>
      <c r="Q169" s="213">
        <f t="shared" ca="1" si="22"/>
        <v>0</v>
      </c>
      <c r="S169" s="359"/>
    </row>
    <row r="170" spans="1:19" ht="15.75" thickBot="1" x14ac:dyDescent="0.25">
      <c r="B170" s="236"/>
      <c r="C170" s="237" t="s">
        <v>366</v>
      </c>
      <c r="D170" s="592">
        <f ca="1">Q170</f>
        <v>0</v>
      </c>
      <c r="E170" s="592"/>
      <c r="F170" s="592"/>
      <c r="G170" s="592"/>
      <c r="H170" s="593"/>
      <c r="I170" s="593"/>
      <c r="J170" s="593"/>
      <c r="K170" s="2"/>
      <c r="L170" s="238"/>
      <c r="M170" s="238"/>
      <c r="N170" s="239"/>
      <c r="O170" s="240"/>
      <c r="Q170" s="213">
        <f ca="1">SUM(Q143:Q169)</f>
        <v>0</v>
      </c>
    </row>
    <row r="171" spans="1:19" ht="15" x14ac:dyDescent="0.2">
      <c r="B171" s="1"/>
      <c r="C171" s="1"/>
      <c r="D171" s="420"/>
      <c r="E171" s="420"/>
      <c r="F171" s="420"/>
      <c r="G171" s="420"/>
      <c r="H171" s="420"/>
      <c r="I171" s="420"/>
      <c r="J171" s="420"/>
      <c r="K171" s="420"/>
      <c r="L171" s="420"/>
      <c r="M171" s="420"/>
    </row>
    <row r="172" spans="1:19" ht="15" x14ac:dyDescent="0.2">
      <c r="B172" s="173" t="s">
        <v>367</v>
      </c>
      <c r="C172" s="216" t="s">
        <v>368</v>
      </c>
      <c r="D172" s="581"/>
      <c r="E172" s="581"/>
      <c r="F172" s="581"/>
      <c r="G172" s="581"/>
      <c r="H172" s="581"/>
      <c r="I172" s="581"/>
      <c r="J172" s="581"/>
      <c r="K172" s="581"/>
    </row>
    <row r="173" spans="1:19" ht="15" x14ac:dyDescent="0.2"/>
    <row r="174" spans="1:19" ht="36.6" customHeight="1" x14ac:dyDescent="0.2">
      <c r="B174" s="241" t="s">
        <v>299</v>
      </c>
      <c r="C174" s="242" t="s">
        <v>300</v>
      </c>
      <c r="D174" s="582" t="s">
        <v>359</v>
      </c>
      <c r="E174" s="582"/>
      <c r="F174" s="582"/>
      <c r="G174" s="582"/>
      <c r="H174" s="583" t="s">
        <v>360</v>
      </c>
      <c r="I174" s="583"/>
      <c r="J174" s="583"/>
      <c r="K174" s="229"/>
      <c r="L174" s="229" t="s">
        <v>361</v>
      </c>
      <c r="M174" s="229" t="s">
        <v>362</v>
      </c>
    </row>
    <row r="175" spans="1:19" ht="15" x14ac:dyDescent="0.2">
      <c r="B175" s="380" t="s">
        <v>337</v>
      </c>
      <c r="C175" s="381" t="s">
        <v>338</v>
      </c>
      <c r="D175" s="584">
        <f ca="1">ABS(O175)</f>
        <v>0</v>
      </c>
      <c r="E175" s="584"/>
      <c r="F175" s="584"/>
      <c r="G175" s="584"/>
      <c r="H175" s="569" t="str">
        <f ca="1">IF(O175=0,"",IF(M175&gt;L175,"A Recolher","A Maior"))</f>
        <v/>
      </c>
      <c r="I175" s="569"/>
      <c r="J175" s="569"/>
      <c r="K175" s="420"/>
      <c r="L175" s="230">
        <f>ROUNDDOWN(GRERJFINAL!$D$82/P143,2)</f>
        <v>0</v>
      </c>
      <c r="M175" s="230">
        <f ca="1">ROUNDDOWN(N175,2)</f>
        <v>0</v>
      </c>
      <c r="N175" s="239">
        <f ca="1">GRERJFINAL!$F$82/P143</f>
        <v>0</v>
      </c>
      <c r="O175" s="243">
        <f ca="1">ROUNDDOWN(L175-M175,2)</f>
        <v>0</v>
      </c>
      <c r="Q175" s="213">
        <f ca="1">IF(H175="A Recolher",D175,0)</f>
        <v>0</v>
      </c>
    </row>
    <row r="176" spans="1:19" ht="12.75" customHeight="1" x14ac:dyDescent="0.2">
      <c r="B176" s="381" t="s">
        <v>307</v>
      </c>
      <c r="C176" s="381" t="s">
        <v>308</v>
      </c>
      <c r="D176" s="578">
        <f ca="1">ABS(O176)</f>
        <v>0</v>
      </c>
      <c r="E176" s="578"/>
      <c r="F176" s="578"/>
      <c r="G176" s="578"/>
      <c r="H176" s="558" t="str">
        <f ca="1">IF(O176=0,"",IF(M176&gt;L176,"A Recolher","A Maior"))</f>
        <v/>
      </c>
      <c r="I176" s="558"/>
      <c r="J176" s="558"/>
      <c r="K176" s="420"/>
      <c r="L176" s="230">
        <f>ROUNDDOWN(GRERJFINAL!$D$84/P143,2)</f>
        <v>0</v>
      </c>
      <c r="M176" s="230">
        <f ca="1">ROUNDDOWN(N176,2)</f>
        <v>0</v>
      </c>
      <c r="N176" s="239">
        <f ca="1">GRERJFINAL!$F$84/P143</f>
        <v>0</v>
      </c>
      <c r="O176" s="243">
        <f ca="1">ROUNDDOWN(L176-M176,2)</f>
        <v>0</v>
      </c>
      <c r="Q176" s="213">
        <f ca="1">IF(H176="A Recolher",D176,0)</f>
        <v>0</v>
      </c>
    </row>
    <row r="177" spans="1:21" ht="15" x14ac:dyDescent="0.2">
      <c r="B177" s="382" t="s">
        <v>317</v>
      </c>
      <c r="C177" s="382" t="s">
        <v>318</v>
      </c>
      <c r="D177" s="578">
        <f ca="1">Q177</f>
        <v>0</v>
      </c>
      <c r="E177" s="578"/>
      <c r="F177" s="578"/>
      <c r="G177" s="578"/>
      <c r="H177" s="558" t="str">
        <f ca="1">IF(D177=0,"",IF(D177="","","A Recolher"))</f>
        <v/>
      </c>
      <c r="I177" s="558"/>
      <c r="J177" s="558"/>
      <c r="K177" s="420"/>
      <c r="L177" s="230"/>
      <c r="M177" s="230"/>
      <c r="N177" s="239"/>
      <c r="O177" s="243"/>
      <c r="Q177" s="213">
        <f ca="1">ROUNDDOWN(SUM(Q175:Q176)*0.1,2)</f>
        <v>0</v>
      </c>
      <c r="T177" s="246"/>
      <c r="U177" s="246"/>
    </row>
    <row r="178" spans="1:21" ht="15" x14ac:dyDescent="0.2">
      <c r="B178" s="382" t="s">
        <v>364</v>
      </c>
      <c r="C178" s="382" t="s">
        <v>326</v>
      </c>
      <c r="D178" s="578">
        <f ca="1">Q178</f>
        <v>0</v>
      </c>
      <c r="E178" s="578"/>
      <c r="F178" s="578"/>
      <c r="G178" s="578"/>
      <c r="H178" s="558" t="str">
        <f ca="1">IF(D178=0,"",IF(D178="","","A Recolher"))</f>
        <v/>
      </c>
      <c r="I178" s="558"/>
      <c r="J178" s="558"/>
      <c r="K178" s="420"/>
      <c r="L178" s="230"/>
      <c r="M178" s="230"/>
      <c r="N178" s="239"/>
      <c r="O178" s="243"/>
      <c r="Q178" s="213">
        <f ca="1">ROUNDDOWN(SUM(Q175:Q176)*0.05,2)</f>
        <v>0</v>
      </c>
      <c r="T178" s="246"/>
    </row>
    <row r="179" spans="1:21" ht="15" x14ac:dyDescent="0.2">
      <c r="B179" s="363" t="s">
        <v>365</v>
      </c>
      <c r="C179" s="383" t="s">
        <v>328</v>
      </c>
      <c r="D179" s="586">
        <f ca="1">D178</f>
        <v>0</v>
      </c>
      <c r="E179" s="586"/>
      <c r="F179" s="586"/>
      <c r="G179" s="586"/>
      <c r="H179" s="558" t="str">
        <f ca="1">IF(D179=0,"",IF(D179="","","A Recolher"))</f>
        <v/>
      </c>
      <c r="I179" s="558"/>
      <c r="J179" s="558"/>
      <c r="K179" s="420"/>
      <c r="L179" s="230"/>
      <c r="M179" s="230"/>
      <c r="N179" s="239"/>
      <c r="O179" s="243"/>
      <c r="Q179" s="213">
        <f ca="1">IF(H179="A Recolher",D179,0)</f>
        <v>0</v>
      </c>
    </row>
    <row r="180" spans="1:21" ht="15.75" thickBot="1" x14ac:dyDescent="0.25">
      <c r="B180" s="236"/>
      <c r="C180" s="244" t="s">
        <v>366</v>
      </c>
      <c r="D180" s="594">
        <f ca="1">Q180</f>
        <v>0</v>
      </c>
      <c r="E180" s="594"/>
      <c r="F180" s="594"/>
      <c r="G180" s="594"/>
      <c r="H180" s="595"/>
      <c r="I180" s="595"/>
      <c r="J180" s="595"/>
      <c r="K180" s="230"/>
      <c r="L180" s="420"/>
      <c r="M180" s="420"/>
      <c r="N180" s="239"/>
      <c r="O180" s="240"/>
      <c r="Q180" s="213">
        <f ca="1">SUM(Q175:Q179)</f>
        <v>0</v>
      </c>
    </row>
    <row r="181" spans="1:21" ht="6" customHeight="1" x14ac:dyDescent="0.2">
      <c r="B181" s="4"/>
      <c r="C181" s="498"/>
      <c r="D181" s="230"/>
      <c r="E181" s="230"/>
      <c r="F181" s="230"/>
      <c r="G181" s="230"/>
      <c r="H181" s="230"/>
      <c r="I181" s="230"/>
      <c r="J181" s="230"/>
      <c r="K181" s="230"/>
      <c r="L181" s="497"/>
      <c r="M181" s="497"/>
      <c r="N181" s="239"/>
      <c r="O181" s="240"/>
    </row>
    <row r="182" spans="1:21" ht="15" x14ac:dyDescent="0.2">
      <c r="B182" s="245" t="s">
        <v>369</v>
      </c>
      <c r="C182" s="589">
        <f ca="1">TODAY()</f>
        <v>43209</v>
      </c>
      <c r="D182" s="589"/>
      <c r="E182" s="589"/>
      <c r="F182" s="589"/>
      <c r="G182" s="589"/>
      <c r="H182" s="589"/>
      <c r="I182" s="589"/>
      <c r="J182" s="589"/>
      <c r="K182" s="246"/>
      <c r="L182" s="246"/>
      <c r="M182" s="246"/>
      <c r="N182" s="246"/>
      <c r="O182" s="246"/>
      <c r="P182" s="246"/>
      <c r="Q182" s="238"/>
      <c r="R182" s="246"/>
      <c r="S182" s="246"/>
    </row>
    <row r="183" spans="1:21" ht="15" x14ac:dyDescent="0.2">
      <c r="B183" s="245"/>
      <c r="C183" s="245"/>
      <c r="D183" s="421"/>
      <c r="E183" s="421"/>
      <c r="F183" s="421"/>
      <c r="G183" s="421"/>
      <c r="H183" s="421"/>
      <c r="I183" s="421"/>
      <c r="J183" s="421"/>
      <c r="K183" s="421"/>
      <c r="L183" s="246"/>
      <c r="M183" s="246"/>
      <c r="N183" s="246"/>
      <c r="O183" s="246"/>
      <c r="P183" s="246"/>
      <c r="Q183" s="238"/>
      <c r="R183" s="246"/>
      <c r="S183" s="246"/>
    </row>
    <row r="184" spans="1:21" ht="15" x14ac:dyDescent="0.2">
      <c r="B184" s="245"/>
      <c r="D184" s="421"/>
      <c r="E184" s="421"/>
      <c r="F184" s="421"/>
      <c r="G184" s="421"/>
      <c r="H184" s="421"/>
      <c r="I184" s="421"/>
      <c r="J184" s="421"/>
      <c r="K184" s="421"/>
      <c r="L184" s="421"/>
      <c r="M184" s="421"/>
    </row>
    <row r="185" spans="1:21" ht="15" x14ac:dyDescent="0.2">
      <c r="A185" s="585" t="str">
        <f>IF('Atos Serv. Jud. Lei. 6369'!$H$9="","NOME",('Atos Serv. Jud. Lei. 6369'!$H$9))</f>
        <v>NOME</v>
      </c>
      <c r="B185" s="585"/>
      <c r="C185" s="585"/>
      <c r="D185" s="585"/>
      <c r="E185" s="585"/>
      <c r="F185" s="585"/>
      <c r="G185" s="585"/>
      <c r="H185" s="585"/>
      <c r="I185" s="585"/>
      <c r="J185" s="585"/>
      <c r="K185" s="585"/>
      <c r="L185" s="420"/>
      <c r="M185" s="420"/>
    </row>
    <row r="186" spans="1:21" ht="15" x14ac:dyDescent="0.2">
      <c r="A186" s="585" t="str">
        <f>IF('Atos Serv. Jud. Lei. 6369'!$H$11="","MATRÍCULA",'Atos Serv. Jud. Lei. 6369'!$H$11)</f>
        <v>MATRÍCULA</v>
      </c>
      <c r="B186" s="585"/>
      <c r="C186" s="585"/>
      <c r="D186" s="585"/>
      <c r="E186" s="585"/>
      <c r="F186" s="585"/>
      <c r="G186" s="585"/>
      <c r="H186" s="585"/>
      <c r="I186" s="585"/>
      <c r="J186" s="585"/>
      <c r="K186" s="585"/>
      <c r="L186" s="485"/>
      <c r="M186" s="485"/>
    </row>
    <row r="187" spans="1:21" ht="15" x14ac:dyDescent="0.2">
      <c r="A187" s="485"/>
      <c r="B187" s="485"/>
      <c r="C187" s="485"/>
      <c r="D187" s="485"/>
      <c r="E187" s="485"/>
      <c r="F187" s="485"/>
      <c r="G187" s="485"/>
      <c r="H187" s="485"/>
      <c r="I187" s="485"/>
      <c r="J187" s="485"/>
      <c r="K187" s="485"/>
      <c r="L187" s="485"/>
      <c r="M187" s="485"/>
    </row>
    <row r="188" spans="1:21" ht="12.75" customHeight="1" x14ac:dyDescent="0.2">
      <c r="A188" s="596"/>
      <c r="B188" s="596"/>
      <c r="C188" s="596"/>
      <c r="D188" s="596"/>
      <c r="E188" s="596"/>
      <c r="F188" s="596"/>
      <c r="G188" s="596"/>
      <c r="H188" s="596"/>
      <c r="I188" s="596"/>
      <c r="J188" s="596"/>
      <c r="K188" s="596"/>
      <c r="L188" s="596"/>
      <c r="M188" s="596"/>
      <c r="N188" s="596"/>
      <c r="O188" s="596"/>
      <c r="P188" s="596"/>
      <c r="Q188" s="596"/>
      <c r="R188" s="596"/>
    </row>
    <row r="189" spans="1:21" ht="12.75" customHeight="1" x14ac:dyDescent="0.2">
      <c r="A189" s="490"/>
      <c r="B189" s="99" t="s">
        <v>349</v>
      </c>
      <c r="C189" s="490"/>
      <c r="D189" s="490"/>
      <c r="E189" s="490"/>
      <c r="F189" s="490"/>
      <c r="G189" s="490"/>
      <c r="H189" s="490"/>
      <c r="I189" s="490"/>
      <c r="J189" s="490"/>
      <c r="K189" s="490"/>
      <c r="L189" s="490"/>
      <c r="M189" s="490"/>
      <c r="N189" s="490"/>
      <c r="O189" s="490"/>
      <c r="P189" s="490"/>
      <c r="Q189" s="490"/>
      <c r="R189" s="490"/>
    </row>
    <row r="190" spans="1:21" ht="10.5" customHeight="1" x14ac:dyDescent="0.2">
      <c r="B190" s="173" t="s">
        <v>350</v>
      </c>
      <c r="R190" s="214"/>
    </row>
    <row r="191" spans="1:21" ht="10.5" customHeight="1" x14ac:dyDescent="0.2">
      <c r="B191" s="173" t="s">
        <v>351</v>
      </c>
      <c r="R191" s="214"/>
    </row>
    <row r="192" spans="1:21" ht="10.5" customHeight="1" x14ac:dyDescent="0.2">
      <c r="B192" s="173" t="s">
        <v>352</v>
      </c>
      <c r="R192" s="214"/>
    </row>
    <row r="193" spans="1:18" ht="10.5" customHeight="1" x14ac:dyDescent="0.2">
      <c r="B193" s="173" t="s">
        <v>353</v>
      </c>
      <c r="R193" s="214"/>
    </row>
    <row r="194" spans="1:18" s="173" customFormat="1" ht="11.25" customHeight="1" x14ac:dyDescent="0.2">
      <c r="B194" s="173" t="s">
        <v>354</v>
      </c>
      <c r="Q194" s="215"/>
    </row>
    <row r="195" spans="1:18" ht="11.25" customHeight="1" x14ac:dyDescent="0.2">
      <c r="B195" s="173" t="s">
        <v>355</v>
      </c>
    </row>
    <row r="196" spans="1:18" ht="6" customHeight="1" x14ac:dyDescent="0.2">
      <c r="J196" s="214"/>
      <c r="K196" s="214"/>
    </row>
    <row r="197" spans="1:18" ht="15" x14ac:dyDescent="0.2">
      <c r="A197" s="216" t="s">
        <v>356</v>
      </c>
      <c r="B197" s="217" t="str">
        <f>IF('Atos Serv. Jud. Lei. 6369'!$H$7=0,"",'Atos Serv. Jud. Lei. 6369'!$H$7)</f>
        <v/>
      </c>
      <c r="E197" s="218"/>
      <c r="F197" s="218"/>
      <c r="G197" s="218"/>
      <c r="H197" s="218"/>
      <c r="I197" s="218"/>
      <c r="J197" s="218"/>
      <c r="K197" s="218"/>
      <c r="L197" s="218"/>
    </row>
    <row r="198" spans="1:18" ht="6" customHeight="1" x14ac:dyDescent="0.2">
      <c r="A198" s="216"/>
      <c r="B198" s="219"/>
      <c r="C198" s="220"/>
      <c r="D198" s="220"/>
      <c r="E198" s="220"/>
      <c r="F198" s="221"/>
      <c r="G198" s="220"/>
      <c r="H198" s="221"/>
      <c r="I198" s="220"/>
      <c r="J198" s="218"/>
      <c r="K198" s="218"/>
    </row>
    <row r="199" spans="1:18" ht="18" x14ac:dyDescent="0.25">
      <c r="A199" s="559" t="s">
        <v>357</v>
      </c>
      <c r="B199" s="559"/>
      <c r="C199" s="559"/>
      <c r="D199" s="559"/>
      <c r="E199" s="559"/>
      <c r="F199" s="559"/>
      <c r="G199" s="559"/>
      <c r="H199" s="559"/>
      <c r="I199" s="559"/>
      <c r="J199" s="559"/>
      <c r="K199" s="559"/>
      <c r="L199" s="419"/>
      <c r="M199" s="222"/>
      <c r="N199" s="222"/>
      <c r="O199" s="222"/>
      <c r="P199" s="222"/>
    </row>
    <row r="201" spans="1:18" ht="15" x14ac:dyDescent="0.2">
      <c r="B201" s="223" t="s">
        <v>358</v>
      </c>
      <c r="C201" s="223"/>
      <c r="E201" s="223"/>
      <c r="F201" s="223"/>
      <c r="H201" s="224"/>
      <c r="I201" s="224"/>
      <c r="J201" s="224"/>
      <c r="K201" s="224"/>
      <c r="L201" s="224"/>
    </row>
    <row r="202" spans="1:18" ht="15.75" x14ac:dyDescent="0.25">
      <c r="A202" s="216"/>
      <c r="B202" s="247">
        <f>GRERJFINAL!C15</f>
        <v>0</v>
      </c>
      <c r="C202" s="216"/>
      <c r="D202" s="218"/>
      <c r="E202" s="223"/>
      <c r="F202" s="223"/>
      <c r="H202" s="224"/>
      <c r="I202" s="224"/>
      <c r="J202" s="224"/>
      <c r="K202" s="224"/>
      <c r="L202" s="224"/>
    </row>
    <row r="203" spans="1:18" ht="15" customHeight="1" x14ac:dyDescent="0.2">
      <c r="B203" s="560" t="str">
        <f>IF(GRERJFINAL!$P$9&lt;2,"","Valores corrigidos na proporção de")</f>
        <v/>
      </c>
      <c r="C203" s="560"/>
      <c r="D203" s="226" t="str">
        <f>IF(GRERJFINAL!$P$9&lt;2,"",IF(GRERJFINAL!G15="",O203,GRERJFINAL!G15))</f>
        <v/>
      </c>
      <c r="E203" s="212" t="str">
        <f>IF(GRERJFINAL!$P$9&lt;2,"","%")</f>
        <v/>
      </c>
      <c r="N203" s="213"/>
      <c r="O203" s="216" t="e">
        <f>IF(GRERJFINAL!G15="",ROUND(100/GRERJFINAL!$P$9,2),GRERJFINAL!G15)</f>
        <v>#DIV/0!</v>
      </c>
    </row>
    <row r="205" spans="1:18" ht="36.75" customHeight="1" x14ac:dyDescent="0.2">
      <c r="B205" s="227" t="s">
        <v>299</v>
      </c>
      <c r="C205" s="228" t="s">
        <v>300</v>
      </c>
      <c r="D205" s="561" t="s">
        <v>359</v>
      </c>
      <c r="E205" s="561"/>
      <c r="F205" s="561"/>
      <c r="G205" s="561"/>
      <c r="H205" s="562" t="s">
        <v>360</v>
      </c>
      <c r="I205" s="562"/>
      <c r="J205" s="562"/>
      <c r="K205" s="229"/>
      <c r="L205" s="229" t="s">
        <v>361</v>
      </c>
      <c r="M205" s="229" t="s">
        <v>362</v>
      </c>
      <c r="N205" s="214"/>
    </row>
    <row r="206" spans="1:18" ht="15" x14ac:dyDescent="0.2">
      <c r="B206" s="361" t="s">
        <v>304</v>
      </c>
      <c r="C206" s="362" t="s">
        <v>363</v>
      </c>
      <c r="D206" s="563">
        <f t="shared" ref="D206:D211" ca="1" si="23">ABS(O206)</f>
        <v>0</v>
      </c>
      <c r="E206" s="563"/>
      <c r="F206" s="563"/>
      <c r="G206" s="563"/>
      <c r="H206" s="564" t="str">
        <f t="shared" ref="H206:H211" ca="1" si="24">IF(O206=0,"",IF(M206&gt;L206,"A Recolher","A Maior"))</f>
        <v/>
      </c>
      <c r="I206" s="564"/>
      <c r="J206" s="564"/>
      <c r="K206" s="420"/>
      <c r="L206" s="230">
        <f>ROUNDDOWN(GRERJFINAL!$D$24/P206,2)</f>
        <v>0</v>
      </c>
      <c r="M206" s="230">
        <f t="shared" ref="M206:M211" ca="1" si="25">ROUNDDOWN(N206,2)</f>
        <v>0</v>
      </c>
      <c r="N206" s="231">
        <f ca="1">GRERJFINAL!$F$24/P206</f>
        <v>0</v>
      </c>
      <c r="O206" s="232">
        <f t="shared" ref="O206:O213" ca="1" si="26">ROUNDDOWN(L206-M206,2)</f>
        <v>0</v>
      </c>
      <c r="P206" s="212">
        <f>IF(GRERJFINAL!C15="",10000000000,IF(GRERJFINAL!G15="",GRERJFINAL!$P$9,100/GRERJFINAL!G15))</f>
        <v>10000000000</v>
      </c>
      <c r="Q206" s="213">
        <f t="shared" ref="Q206:Q213" ca="1" si="27">IF(H206="A Recolher",D206,0)</f>
        <v>0</v>
      </c>
    </row>
    <row r="207" spans="1:18" ht="15" x14ac:dyDescent="0.2">
      <c r="B207" s="363" t="s">
        <v>307</v>
      </c>
      <c r="C207" s="364" t="s">
        <v>308</v>
      </c>
      <c r="D207" s="557">
        <f t="shared" ca="1" si="23"/>
        <v>0</v>
      </c>
      <c r="E207" s="557"/>
      <c r="F207" s="557"/>
      <c r="G207" s="557"/>
      <c r="H207" s="558" t="str">
        <f t="shared" ca="1" si="24"/>
        <v/>
      </c>
      <c r="I207" s="558"/>
      <c r="J207" s="558"/>
      <c r="K207" s="420"/>
      <c r="L207" s="230">
        <f>ROUNDDOWN(GRERJFINAL!$D$26/P206,2)</f>
        <v>0</v>
      </c>
      <c r="M207" s="230">
        <f t="shared" ca="1" si="25"/>
        <v>0</v>
      </c>
      <c r="N207" s="233">
        <f ca="1">GRERJFINAL!$F$26/P206</f>
        <v>0</v>
      </c>
      <c r="O207" s="232">
        <f t="shared" ca="1" si="26"/>
        <v>0</v>
      </c>
      <c r="Q207" s="213">
        <f t="shared" ca="1" si="27"/>
        <v>0</v>
      </c>
    </row>
    <row r="208" spans="1:18" ht="15" x14ac:dyDescent="0.2">
      <c r="B208" s="363" t="s">
        <v>309</v>
      </c>
      <c r="C208" s="364" t="s">
        <v>310</v>
      </c>
      <c r="D208" s="557">
        <f t="shared" ca="1" si="23"/>
        <v>0</v>
      </c>
      <c r="E208" s="557"/>
      <c r="F208" s="557"/>
      <c r="G208" s="557"/>
      <c r="H208" s="558" t="str">
        <f t="shared" ca="1" si="24"/>
        <v/>
      </c>
      <c r="I208" s="558"/>
      <c r="J208" s="558"/>
      <c r="K208" s="420"/>
      <c r="L208" s="230">
        <f>ROUNDDOWN(GRERJFINAL!$D$28/P206,2)</f>
        <v>0</v>
      </c>
      <c r="M208" s="230">
        <f t="shared" ca="1" si="25"/>
        <v>0</v>
      </c>
      <c r="N208" s="231">
        <f ca="1">GRERJFINAL!$F$28/P206</f>
        <v>0</v>
      </c>
      <c r="O208" s="232">
        <f t="shared" ca="1" si="26"/>
        <v>0</v>
      </c>
      <c r="Q208" s="213">
        <f t="shared" ca="1" si="27"/>
        <v>0</v>
      </c>
    </row>
    <row r="209" spans="1:19" ht="15" x14ac:dyDescent="0.2">
      <c r="B209" s="363" t="s">
        <v>311</v>
      </c>
      <c r="C209" s="364" t="s">
        <v>312</v>
      </c>
      <c r="D209" s="557">
        <f t="shared" ca="1" si="23"/>
        <v>0</v>
      </c>
      <c r="E209" s="557"/>
      <c r="F209" s="557"/>
      <c r="G209" s="557"/>
      <c r="H209" s="558" t="str">
        <f t="shared" ca="1" si="24"/>
        <v/>
      </c>
      <c r="I209" s="558"/>
      <c r="J209" s="558"/>
      <c r="K209" s="420"/>
      <c r="L209" s="230">
        <f>ROUNDDOWN(GRERJFINAL!$D$30/P206,2)</f>
        <v>0</v>
      </c>
      <c r="M209" s="230">
        <f t="shared" ca="1" si="25"/>
        <v>0</v>
      </c>
      <c r="N209" s="233">
        <f ca="1">GRERJFINAL!$F$30/P206</f>
        <v>0</v>
      </c>
      <c r="O209" s="232">
        <f t="shared" ca="1" si="26"/>
        <v>0</v>
      </c>
      <c r="Q209" s="213">
        <f t="shared" ca="1" si="27"/>
        <v>0</v>
      </c>
    </row>
    <row r="210" spans="1:19" ht="15" x14ac:dyDescent="0.2">
      <c r="B210" s="363" t="s">
        <v>313</v>
      </c>
      <c r="C210" s="364" t="s">
        <v>314</v>
      </c>
      <c r="D210" s="557">
        <f t="shared" ca="1" si="23"/>
        <v>0</v>
      </c>
      <c r="E210" s="557"/>
      <c r="F210" s="557"/>
      <c r="G210" s="557"/>
      <c r="H210" s="558" t="str">
        <f t="shared" ca="1" si="24"/>
        <v/>
      </c>
      <c r="I210" s="558"/>
      <c r="J210" s="558"/>
      <c r="K210" s="420"/>
      <c r="L210" s="230">
        <f>ROUNDDOWN(GRERJFINAL!$D$33/P206,2)</f>
        <v>0</v>
      </c>
      <c r="M210" s="230">
        <f t="shared" ca="1" si="25"/>
        <v>0</v>
      </c>
      <c r="N210" s="233">
        <f ca="1">GRERJFINAL!$F$33/P206</f>
        <v>0</v>
      </c>
      <c r="O210" s="232">
        <f t="shared" ca="1" si="26"/>
        <v>0</v>
      </c>
      <c r="Q210" s="213">
        <f t="shared" ca="1" si="27"/>
        <v>0</v>
      </c>
    </row>
    <row r="211" spans="1:19" ht="15" x14ac:dyDescent="0.2">
      <c r="B211" s="363" t="s">
        <v>315</v>
      </c>
      <c r="C211" s="364" t="s">
        <v>316</v>
      </c>
      <c r="D211" s="557">
        <f t="shared" ca="1" si="23"/>
        <v>0</v>
      </c>
      <c r="E211" s="557"/>
      <c r="F211" s="557"/>
      <c r="G211" s="557"/>
      <c r="H211" s="558" t="str">
        <f t="shared" ca="1" si="24"/>
        <v/>
      </c>
      <c r="I211" s="558"/>
      <c r="J211" s="558"/>
      <c r="K211" s="420"/>
      <c r="L211" s="230">
        <f>ROUNDDOWN(GRERJFINAL!$D$35/P206,2)</f>
        <v>0</v>
      </c>
      <c r="M211" s="230">
        <f t="shared" ca="1" si="25"/>
        <v>0</v>
      </c>
      <c r="N211" s="231">
        <f ca="1">GRERJFINAL!$F$35/P206</f>
        <v>0</v>
      </c>
      <c r="O211" s="232">
        <f t="shared" ca="1" si="26"/>
        <v>0</v>
      </c>
      <c r="Q211" s="213">
        <f t="shared" ca="1" si="27"/>
        <v>0</v>
      </c>
    </row>
    <row r="212" spans="1:19" ht="15" customHeight="1" x14ac:dyDescent="0.2">
      <c r="B212" s="363" t="str">
        <f>IF('Atos Serv. Jud. Lei. 6369'!$O$299&gt;1,"ERRO",IF('Atos Serv. Jud. Lei. 6369'!$O$299=0,"",IF('Atos Serv. Jud. Lei. 6369'!$F$318=1,"1108-0",IF('Atos Serv. Jud. Lei. 6369'!$F$314=1,"1114-0","1108-0"))))</f>
        <v/>
      </c>
      <c r="C212" s="365" t="str">
        <f>IF('Atos Serv. Jud. Lei. 6369'!$O$299&gt;1,"ERRO",IF('Atos Serv. Jud. Lei. 6369'!$O$299=0,"",IF('Atos Serv. Jud. Lei. 6369'!$F$318=1,"Avaliação por Oficial de Justiça",IF('Atos Serv. Jud. Lei. 6369'!$F$314=1,"Central de Avaliadores da Capital","Atos dos Avaliadores Judiciais"))))</f>
        <v/>
      </c>
      <c r="D212" s="557" t="str">
        <f>IF(B212="","",ABS(O212))</f>
        <v/>
      </c>
      <c r="E212" s="557"/>
      <c r="F212" s="557"/>
      <c r="G212" s="557"/>
      <c r="H212" s="558" t="str">
        <f>IF(B212="","",IF(O212=0,"",IF(M212&gt;L212,"A Recolher","A Maior")))</f>
        <v/>
      </c>
      <c r="I212" s="558"/>
      <c r="J212" s="558"/>
      <c r="K212" s="234"/>
      <c r="L212" s="235">
        <f>IF(B212="",0,ROUNDDOWN(GRERJFINAL!$D$37/P206,2))</f>
        <v>0</v>
      </c>
      <c r="M212" s="235">
        <f>IF(B212="",0,ROUNDDOWN(N212,2))</f>
        <v>0</v>
      </c>
      <c r="N212" s="231">
        <f ca="1">GRERJFINAL!$F$37/P206</f>
        <v>0</v>
      </c>
      <c r="O212" s="232">
        <f t="shared" si="26"/>
        <v>0</v>
      </c>
      <c r="Q212" s="213">
        <f t="shared" si="27"/>
        <v>0</v>
      </c>
    </row>
    <row r="213" spans="1:19" ht="15" x14ac:dyDescent="0.2">
      <c r="B213" s="363" t="str">
        <f>IF(GRERJFINAL!$C$39="Avaliador Judicial",GRERJFINAL!$B$39,"")</f>
        <v/>
      </c>
      <c r="C213" s="364" t="str">
        <f>IF('Atos Serv. Jud. Lei. 6369'!$O$299&gt;1,"ERRO",IF('Atos Serv. Jud. Lei. 6369'!$F$316=1,"Avaliador Judicial",""))</f>
        <v/>
      </c>
      <c r="D213" s="557" t="str">
        <f>IF(B213="","",ABS(O213))</f>
        <v/>
      </c>
      <c r="E213" s="557"/>
      <c r="F213" s="557"/>
      <c r="G213" s="557"/>
      <c r="H213" s="558" t="str">
        <f>IF(B213="","",IF(O213=0,"",IF(M213&gt;L213,"A Recolher","A Maior")))</f>
        <v/>
      </c>
      <c r="I213" s="558"/>
      <c r="J213" s="558"/>
      <c r="K213" s="420"/>
      <c r="L213" s="230">
        <f>IF(B213="",0,IF(GRERJFINAL!$C$39="Avaliador Judicial",ROUNDDOWN(GRERJFINAL!$D$39/P206,2),0))</f>
        <v>0</v>
      </c>
      <c r="M213" s="230">
        <f>IF(B213="",0,ROUNDDOWN(N213,2))</f>
        <v>0</v>
      </c>
      <c r="N213" s="231">
        <f ca="1">GRERJFINAL!$F$39/P206</f>
        <v>0</v>
      </c>
      <c r="O213" s="232">
        <f t="shared" si="26"/>
        <v>0</v>
      </c>
      <c r="Q213" s="213">
        <f t="shared" si="27"/>
        <v>0</v>
      </c>
    </row>
    <row r="214" spans="1:19" ht="15" x14ac:dyDescent="0.2">
      <c r="B214" s="366" t="s">
        <v>317</v>
      </c>
      <c r="C214" s="367" t="s">
        <v>318</v>
      </c>
      <c r="D214" s="557">
        <f ca="1">Q214</f>
        <v>0</v>
      </c>
      <c r="E214" s="557"/>
      <c r="F214" s="557"/>
      <c r="G214" s="557"/>
      <c r="H214" s="558" t="str">
        <f ca="1">IF(D214=0,"",IF(D214="","","A Recolher"))</f>
        <v/>
      </c>
      <c r="I214" s="558"/>
      <c r="J214" s="558"/>
      <c r="K214" s="420"/>
      <c r="L214" s="230"/>
      <c r="M214" s="230"/>
      <c r="N214" s="233"/>
      <c r="O214" s="232"/>
      <c r="Q214" s="213">
        <f ca="1">ROUNDDOWN(SUM(Q206:Q213)*0.1,2)</f>
        <v>0</v>
      </c>
    </row>
    <row r="215" spans="1:19" ht="15" x14ac:dyDescent="0.2">
      <c r="A215" s="213"/>
      <c r="B215" s="368" t="str">
        <f>S215</f>
        <v/>
      </c>
      <c r="C215" s="369" t="str">
        <f ca="1">IF(D215="ERRO","Mais de um distribuidor marcado","Atos dos Distribuidores")</f>
        <v>Atos dos Distribuidores</v>
      </c>
      <c r="D215" s="557">
        <f ca="1">IF(GRERJFINAL!F216="ERRO","ERRO",ABS(O215))</f>
        <v>0</v>
      </c>
      <c r="E215" s="557"/>
      <c r="F215" s="557"/>
      <c r="G215" s="557"/>
      <c r="H215" s="558" t="str">
        <f ca="1">IF(D215="ERRO","ERRO",IF(O215=0,"",IF(M215&gt;L215,"A Recolher","A Maior")))</f>
        <v/>
      </c>
      <c r="I215" s="558"/>
      <c r="J215" s="558"/>
      <c r="K215" s="420"/>
      <c r="L215" s="230">
        <f>ROUNDDOWN(GRERJFINAL!$D$43/P206,2)</f>
        <v>0</v>
      </c>
      <c r="M215" s="230">
        <f ca="1">ROUNDDOWN(N215,2)</f>
        <v>0</v>
      </c>
      <c r="N215" s="233">
        <f ca="1">GRERJFINAL!$F$43/P206</f>
        <v>0</v>
      </c>
      <c r="O215" s="232">
        <f ca="1">ROUNDDOWN(L215-M215,2)</f>
        <v>0</v>
      </c>
      <c r="Q215" s="213">
        <f ca="1">IF(H215="A Recolher",D215,0)</f>
        <v>0</v>
      </c>
      <c r="S215" s="212" t="str">
        <f>IF('Atos Serv. Jud. Lei. 6369'!$E$433&gt;0,"2102-2",IF('Atos Serv. Jud. Lei. 6369'!$E$435&gt;0,"3071-0024739-1",IF('Atos Serv. Jud. Lei. 6369'!$E$437&gt;0,"0065-0210279-0",IF('Atos Serv. Jud. Lei. 6369'!$E$439,"0445-0137200-9",IF('Atos Serv. Jud. Lei. 6369'!$E$441&gt;0,"1669-0012095-2","")))))</f>
        <v/>
      </c>
    </row>
    <row r="216" spans="1:19" ht="15" x14ac:dyDescent="0.2">
      <c r="A216" s="213"/>
      <c r="B216" s="370" t="str">
        <f>IF('Atos Serv. Jud. Lei. 6369'!$E$433&gt;0,"2701-1",IF('Atos Serv. Jud. Lei. 6369'!$E$435&gt;0,"2702-9",IF('Atos Serv. Jud. Lei. 6369'!$E$437&gt;0,"2703-7",IF('Atos Serv. Jud. Lei. 6369'!$E$439,"2704-5",IF('Atos Serv. Jud. Lei. 6369'!$E$441,"2705-2","")))))</f>
        <v/>
      </c>
      <c r="C216" s="369" t="str">
        <f>IF(B216="","","Distribuidores (Aviso TJ Nº 22/2013)")</f>
        <v/>
      </c>
      <c r="D216" s="557" t="str">
        <f>IF(B216="","",ABS(O216))</f>
        <v/>
      </c>
      <c r="E216" s="557"/>
      <c r="F216" s="557"/>
      <c r="G216" s="557"/>
      <c r="H216" s="558" t="str">
        <f>IF(B216="","",IF(O216=0,"",IF(M216&gt;L216,"A Recolher","A Maior")))</f>
        <v/>
      </c>
      <c r="I216" s="558"/>
      <c r="J216" s="558"/>
      <c r="K216" s="420"/>
      <c r="L216" s="230">
        <f>ROUNDDOWN(GRERJFINAL!$D$45/P206,2)</f>
        <v>0</v>
      </c>
      <c r="M216" s="230">
        <f ca="1">ROUNDDOWN(N216,2)</f>
        <v>0</v>
      </c>
      <c r="N216" s="233">
        <f ca="1">GRERJFINAL!$F$45/P206</f>
        <v>0</v>
      </c>
      <c r="O216" s="232">
        <f ca="1">ROUNDDOWN(L216-M216,2)</f>
        <v>0</v>
      </c>
      <c r="Q216" s="213">
        <f>IF(H216="A Recolher",D216,0)</f>
        <v>0</v>
      </c>
    </row>
    <row r="217" spans="1:19" ht="15" x14ac:dyDescent="0.2">
      <c r="B217" s="368" t="s">
        <v>321</v>
      </c>
      <c r="C217" s="364" t="s">
        <v>322</v>
      </c>
      <c r="D217" s="557">
        <f ca="1">Q217</f>
        <v>0</v>
      </c>
      <c r="E217" s="557"/>
      <c r="F217" s="557"/>
      <c r="G217" s="557"/>
      <c r="H217" s="558" t="str">
        <f ca="1">IF(D217=0,"",IF(D217="","","A Recolher"))</f>
        <v/>
      </c>
      <c r="I217" s="558"/>
      <c r="J217" s="558"/>
      <c r="K217" s="420"/>
      <c r="L217" s="230"/>
      <c r="M217" s="230"/>
      <c r="N217" s="233"/>
      <c r="O217" s="232"/>
      <c r="Q217" s="213">
        <f ca="1">IF((Q215+Q221+Q223+Q225+Q227)=0,0,ROUNDDOWN((Q215+Q221+Q223+Q225+Q227)*0.2,2))</f>
        <v>0</v>
      </c>
    </row>
    <row r="218" spans="1:19" ht="15" x14ac:dyDescent="0.2">
      <c r="B218" s="363" t="s">
        <v>323</v>
      </c>
      <c r="C218" s="364" t="s">
        <v>324</v>
      </c>
      <c r="D218" s="557">
        <f ca="1">ABS(O218)</f>
        <v>0</v>
      </c>
      <c r="E218" s="557"/>
      <c r="F218" s="557"/>
      <c r="G218" s="557"/>
      <c r="H218" s="558" t="str">
        <f ca="1">IF(O218=0,"",IF(M218&gt;L218,"A Recolher","A Maior"))</f>
        <v/>
      </c>
      <c r="I218" s="558"/>
      <c r="J218" s="558"/>
      <c r="K218" s="420"/>
      <c r="L218" s="230">
        <f>ROUNDDOWN(GRERJFINAL!$D$49/P206,2)</f>
        <v>0</v>
      </c>
      <c r="M218" s="230">
        <f ca="1">ROUNDDOWN(N218,2)</f>
        <v>0</v>
      </c>
      <c r="N218" s="231">
        <f ca="1">GRERJFINAL!$F$49/P206</f>
        <v>0</v>
      </c>
      <c r="O218" s="232">
        <f ca="1">ROUNDDOWN(L218-M218,2)</f>
        <v>0</v>
      </c>
      <c r="P218" s="139"/>
      <c r="Q218" s="213">
        <f ca="1">IF(H218="A Recolher",D218,0)</f>
        <v>0</v>
      </c>
      <c r="R218" s="139"/>
    </row>
    <row r="219" spans="1:19" ht="15" x14ac:dyDescent="0.2">
      <c r="B219" s="363" t="s">
        <v>364</v>
      </c>
      <c r="C219" s="364" t="s">
        <v>326</v>
      </c>
      <c r="D219" s="557">
        <f ca="1">Q219</f>
        <v>0</v>
      </c>
      <c r="E219" s="557"/>
      <c r="F219" s="557"/>
      <c r="G219" s="557"/>
      <c r="H219" s="558" t="str">
        <f ca="1">IF(D219=0,"",IF(D219="","","A Recolher"))</f>
        <v/>
      </c>
      <c r="I219" s="558"/>
      <c r="J219" s="558"/>
      <c r="K219" s="420"/>
      <c r="L219" s="230"/>
      <c r="M219" s="230"/>
      <c r="N219" s="233"/>
      <c r="O219" s="232"/>
      <c r="Q219" s="213">
        <f ca="1">ROUNDDOWN((SUM(Q206:Q213)+Q215+Q221+Q223+Q225+Q227)*0.05,2)</f>
        <v>0</v>
      </c>
    </row>
    <row r="220" spans="1:19" ht="15" x14ac:dyDescent="0.2">
      <c r="B220" s="363" t="s">
        <v>365</v>
      </c>
      <c r="C220" s="371" t="s">
        <v>328</v>
      </c>
      <c r="D220" s="567">
        <f ca="1">D219</f>
        <v>0</v>
      </c>
      <c r="E220" s="567"/>
      <c r="F220" s="567"/>
      <c r="G220" s="567"/>
      <c r="H220" s="591" t="str">
        <f ca="1">IF(D220=0,"",IF(D220="","","A Recolher"))</f>
        <v/>
      </c>
      <c r="I220" s="591"/>
      <c r="J220" s="591"/>
      <c r="K220" s="420"/>
      <c r="L220" s="230"/>
      <c r="M220" s="230"/>
      <c r="N220" s="233"/>
      <c r="O220" s="232"/>
      <c r="Q220" s="213">
        <f ca="1">Q219</f>
        <v>0</v>
      </c>
    </row>
    <row r="221" spans="1:19" ht="15" x14ac:dyDescent="0.2">
      <c r="B221" s="363" t="str">
        <f>S221</f>
        <v/>
      </c>
      <c r="C221" s="369" t="str">
        <f>IF(B221="","",IF(D221="ERRO","Mais de um distribuidor marcado","Atos dos Distribuidores"))</f>
        <v/>
      </c>
      <c r="D221" s="565">
        <f>IF(GRERJFINAL!F228="ERRO","ERRO",IF(B221="",0,ABS(O221)))</f>
        <v>0</v>
      </c>
      <c r="E221" s="565"/>
      <c r="F221" s="565"/>
      <c r="G221" s="565"/>
      <c r="H221" s="558" t="str">
        <f>IF(D221="ERRO","ERRO",IF(B221="","",IF(O221=0,"",IF(M221&gt;L221,"A Recolher","A Maior"))))</f>
        <v/>
      </c>
      <c r="I221" s="558"/>
      <c r="J221" s="558"/>
      <c r="K221" s="420"/>
      <c r="L221" s="230">
        <f>IF(B221="",0,ROUNDDOWN(GRERJFINAL!$D$55/P206,2))</f>
        <v>0</v>
      </c>
      <c r="M221" s="230">
        <f t="shared" ref="M221:M228" si="28">IF(B221="",0,ROUNDDOWN(N221,2))</f>
        <v>0</v>
      </c>
      <c r="N221" s="226">
        <f ca="1">GRERJFINAL!$F$55/P206</f>
        <v>0</v>
      </c>
      <c r="O221" s="232">
        <f t="shared" ref="O221:O232" si="29">ROUNDDOWN(L221-M221,2)</f>
        <v>0</v>
      </c>
      <c r="Q221" s="213">
        <f t="shared" ref="Q221:Q232" si="30">IF(H221="A Recolher",D221,0)</f>
        <v>0</v>
      </c>
      <c r="S221" s="212" t="str">
        <f>IF('Atos Serv. Jud. Lei. 6369'!$E$457&gt;0,"2102-2",IF('Atos Serv. Jud. Lei. 6369'!$E$459&gt;0,"3071-0024739-1",IF('Atos Serv. Jud. Lei. 6369'!$E$461&gt;0,"0065-0210279-0",IF('Atos Serv. Jud. Lei. 6369'!$E$463,"0445-0137200-9",IF('Atos Serv. Jud. Lei. 6369'!$E$465&gt;0,"1669-0012095-2","")))))</f>
        <v/>
      </c>
    </row>
    <row r="222" spans="1:19" ht="15" x14ac:dyDescent="0.2">
      <c r="B222" s="372" t="str">
        <f>IF('Atos Serv. Jud. Lei. 6369'!$E$457&gt;0,"2701-1",IF('Atos Serv. Jud. Lei. 6369'!$E$459&gt;0,"2702-9",IF('Atos Serv. Jud. Lei. 6369'!$E$461&gt;0,"2703-7",IF('Atos Serv. Jud. Lei. 6369'!$E$463,"2704-5",IF('Atos Serv. Jud. Lei. 6369'!$E$465,"2705-2","")))))</f>
        <v/>
      </c>
      <c r="C222" s="369" t="str">
        <f>IF(B222="","","Distribuidores (Aviso TJ Nº 22/2013)")</f>
        <v/>
      </c>
      <c r="D222" s="557" t="str">
        <f>IF(B222="","",ABS(O222))</f>
        <v/>
      </c>
      <c r="E222" s="557"/>
      <c r="F222" s="557"/>
      <c r="G222" s="557"/>
      <c r="H222" s="558" t="str">
        <f>IF(B222="","",IF(O222=0,"",IF(M222&gt;L222,"A Recolher","A Maior")))</f>
        <v/>
      </c>
      <c r="I222" s="558"/>
      <c r="J222" s="558"/>
      <c r="K222" s="420"/>
      <c r="L222" s="230">
        <f>IF(B222="",0,ROUNDDOWN(GRERJFINAL!$D$57/P206,2))</f>
        <v>0</v>
      </c>
      <c r="M222" s="230">
        <f t="shared" si="28"/>
        <v>0</v>
      </c>
      <c r="N222" s="226">
        <f ca="1">GRERJFINAL!$F$57/P206</f>
        <v>0</v>
      </c>
      <c r="O222" s="232">
        <f t="shared" si="29"/>
        <v>0</v>
      </c>
      <c r="Q222" s="213">
        <f t="shared" si="30"/>
        <v>0</v>
      </c>
    </row>
    <row r="223" spans="1:19" ht="15" x14ac:dyDescent="0.2">
      <c r="B223" s="373" t="str">
        <f>S223</f>
        <v/>
      </c>
      <c r="C223" s="374" t="str">
        <f>IF(B223="","",IF(D223="ERRO","Mais de um distribuidor marcado","Atos dos Distribuidores"))</f>
        <v/>
      </c>
      <c r="D223" s="565">
        <f>IF(GRERJFINAL!F232="ERRO","ERRO",IF(B223="",0,ABS(O223)))</f>
        <v>0</v>
      </c>
      <c r="E223" s="565"/>
      <c r="F223" s="565"/>
      <c r="G223" s="565"/>
      <c r="H223" s="566" t="str">
        <f>IF(D223="ERRO","ERRO",IF(B223="","",IF(O223=0,"",IF(M223&gt;L223,"A Recolher","A Maior"))))</f>
        <v/>
      </c>
      <c r="I223" s="566"/>
      <c r="J223" s="566"/>
      <c r="K223" s="420"/>
      <c r="L223" s="230">
        <f>IF(B223="",0,ROUNDDOWN(GRERJFINAL!$D$59/P206,2))</f>
        <v>0</v>
      </c>
      <c r="M223" s="230">
        <f t="shared" si="28"/>
        <v>0</v>
      </c>
      <c r="N223" s="226">
        <f ca="1">GRERJFINAL!$F$59/P206</f>
        <v>0</v>
      </c>
      <c r="O223" s="232">
        <f t="shared" si="29"/>
        <v>0</v>
      </c>
      <c r="Q223" s="213">
        <f t="shared" si="30"/>
        <v>0</v>
      </c>
      <c r="S223" s="212" t="str">
        <f>IF('Atos Serv. Jud. Lei. 6369'!$E$481&gt;0,"2102-2",IF('Atos Serv. Jud. Lei. 6369'!$E$483&gt;0,"3071-0024739-1",IF('Atos Serv. Jud. Lei. 6369'!$E$485&gt;0,"0065-0210279-0",IF('Atos Serv. Jud. Lei. 6369'!$E$487,"0445-0137200-9",IF('Atos Serv. Jud. Lei. 6369'!$E$489&gt;0,"1669-0012095-2","")))))</f>
        <v/>
      </c>
    </row>
    <row r="224" spans="1:19" ht="15" x14ac:dyDescent="0.2">
      <c r="B224" s="375" t="str">
        <f>IF('Atos Serv. Jud. Lei. 6369'!$E$481&gt;0,"2701-1",IF('Atos Serv. Jud. Lei. 6369'!$E$483&gt;0,"2702-9",IF('Atos Serv. Jud. Lei. 6369'!$E$485&gt;0,"2703-7",IF('Atos Serv. Jud. Lei. 6369'!$E$487,"2704-5",IF('Atos Serv. Jud. Lei. 6369'!$E$489,"2705-2","")))))</f>
        <v/>
      </c>
      <c r="C224" s="376" t="str">
        <f>IF(B224="","","Distribuidores (Aviso TJ Nº 22/2013)")</f>
        <v/>
      </c>
      <c r="D224" s="557" t="str">
        <f>IF(B224="","",ABS(O224))</f>
        <v/>
      </c>
      <c r="E224" s="557"/>
      <c r="F224" s="557"/>
      <c r="G224" s="557"/>
      <c r="H224" s="558" t="str">
        <f>IF(B224="","",IF(O224=0,"",IF(M224&gt;L224,"A Recolher","A Maior")))</f>
        <v/>
      </c>
      <c r="I224" s="558"/>
      <c r="J224" s="558"/>
      <c r="K224" s="420"/>
      <c r="L224" s="230">
        <f>IF(B224="",0,ROUNDDOWN(GRERJFINAL!$D$61/P206,2))</f>
        <v>0</v>
      </c>
      <c r="M224" s="230">
        <f t="shared" si="28"/>
        <v>0</v>
      </c>
      <c r="N224" s="226">
        <f ca="1">GRERJFINAL!$F$61/P206</f>
        <v>0</v>
      </c>
      <c r="O224" s="232">
        <f t="shared" si="29"/>
        <v>0</v>
      </c>
      <c r="Q224" s="213">
        <f t="shared" si="30"/>
        <v>0</v>
      </c>
    </row>
    <row r="225" spans="1:21" ht="15" x14ac:dyDescent="0.2">
      <c r="B225" s="375" t="str">
        <f>S225</f>
        <v/>
      </c>
      <c r="C225" s="374" t="str">
        <f>IF(B225="","",IF(D225="ERRO","Mais de um distribuidor marcado","Atos dos Distribuidores"))</f>
        <v/>
      </c>
      <c r="D225" s="565">
        <f>IF(GRERJFINAL!F236="ERRO","ERRO",IF(B225="",0,ABS(O225)))</f>
        <v>0</v>
      </c>
      <c r="E225" s="565"/>
      <c r="F225" s="565"/>
      <c r="G225" s="601"/>
      <c r="H225" s="602" t="str">
        <f>IF(D225="ERRO","ERRO",IF(B225="","",IF(O225=0,"",IF(M225&gt;L225,"A Recolher","A Maior"))))</f>
        <v/>
      </c>
      <c r="I225" s="566"/>
      <c r="J225" s="566"/>
      <c r="K225" s="420"/>
      <c r="L225" s="230">
        <f>IF(B225="",0,ROUNDDOWN(GRERJFINAL!$D$63/P206,2))</f>
        <v>0</v>
      </c>
      <c r="M225" s="230">
        <f t="shared" si="28"/>
        <v>0</v>
      </c>
      <c r="N225" s="226">
        <f ca="1">GRERJFINAL!$F$63/P206</f>
        <v>0</v>
      </c>
      <c r="O225" s="232">
        <f t="shared" si="29"/>
        <v>0</v>
      </c>
      <c r="Q225" s="213">
        <f t="shared" si="30"/>
        <v>0</v>
      </c>
      <c r="S225" s="212" t="str">
        <f>IF('Atos Serv. Jud. Lei. 6369'!$E$505&gt;0,"2102-2",IF('Atos Serv. Jud. Lei. 6369'!$E$507&gt;0,"3071-0024739-1",IF('Atos Serv. Jud. Lei. 6369'!$E$509&gt;0,"0065-0210279-0",IF('Atos Serv. Jud. Lei. 6369'!$E$511,"0445-0137200-9",IF('Atos Serv. Jud. Lei. 6369'!$E$513&gt;0,"1669-0012095-2","")))))</f>
        <v/>
      </c>
      <c r="U225" s="359"/>
    </row>
    <row r="226" spans="1:21" ht="15" x14ac:dyDescent="0.2">
      <c r="B226" s="375" t="str">
        <f>IF('Atos Serv. Jud. Lei. 6369'!$E$505&gt;0,"2701-1",IF('Atos Serv. Jud. Lei. 6369'!$E$507&gt;0,"2702-9",IF('Atos Serv. Jud. Lei. 6369'!$E$509&gt;0,"2703-7",IF('Atos Serv. Jud. Lei. 6369'!$E$511,"2704-5",IF('Atos Serv. Jud. Lei. 6369'!$E$513,"2705-2","")))))</f>
        <v/>
      </c>
      <c r="C226" s="374" t="str">
        <f>IF(B226="","","Distribuidores (Aviso TJ Nº 22/2013)")</f>
        <v/>
      </c>
      <c r="D226" s="557" t="str">
        <f>IF(B226="","",ABS(O226))</f>
        <v/>
      </c>
      <c r="E226" s="557"/>
      <c r="F226" s="557"/>
      <c r="G226" s="557"/>
      <c r="H226" s="558" t="str">
        <f>IF(B226="","",IF(O226=0,"",IF(M226&gt;L226,"A Recolher","A Maior")))</f>
        <v/>
      </c>
      <c r="I226" s="558"/>
      <c r="J226" s="558"/>
      <c r="K226" s="420"/>
      <c r="L226" s="230">
        <f>IF(B226="",0,ROUNDDOWN(GRERJFINAL!$D$65/P206,2))</f>
        <v>0</v>
      </c>
      <c r="M226" s="230">
        <f t="shared" si="28"/>
        <v>0</v>
      </c>
      <c r="N226" s="226">
        <f ca="1">GRERJFINAL!$F$65/P206</f>
        <v>0</v>
      </c>
      <c r="O226" s="232">
        <f t="shared" si="29"/>
        <v>0</v>
      </c>
      <c r="Q226" s="213">
        <f t="shared" si="30"/>
        <v>0</v>
      </c>
    </row>
    <row r="227" spans="1:21" ht="12.75" customHeight="1" x14ac:dyDescent="0.2">
      <c r="B227" s="375" t="str">
        <f>S227</f>
        <v/>
      </c>
      <c r="C227" s="374" t="str">
        <f>IF(B227="","",IF(D227="ERRO","Mais de um distribuidor marcado","Atos dos Distribuidores"))</f>
        <v/>
      </c>
      <c r="D227" s="565">
        <f>IF(GRERJFINAL!F240="ERRO","ERRO",IF(B227="",0,ABS(O227)))</f>
        <v>0</v>
      </c>
      <c r="E227" s="565"/>
      <c r="F227" s="565"/>
      <c r="G227" s="565"/>
      <c r="H227" s="566" t="str">
        <f>IF(D227="ERRO","ERRO",IF(B227="","",IF(O227=0,"",IF(M227&gt;L227,"A Recolher","A Maior"))))</f>
        <v/>
      </c>
      <c r="I227" s="566"/>
      <c r="J227" s="566"/>
      <c r="K227" s="420"/>
      <c r="L227" s="230">
        <f>IF(B227="",0,ROUNDDOWN(GRERJFINAL!$D$67/P206,2))</f>
        <v>0</v>
      </c>
      <c r="M227" s="230">
        <f t="shared" si="28"/>
        <v>0</v>
      </c>
      <c r="N227" s="226">
        <f ca="1">GRERJFINAL!$F$67/P206</f>
        <v>0</v>
      </c>
      <c r="O227" s="232">
        <f t="shared" si="29"/>
        <v>0</v>
      </c>
      <c r="Q227" s="213">
        <f t="shared" si="30"/>
        <v>0</v>
      </c>
      <c r="S227" s="212" t="str">
        <f>IF('Atos Serv. Jud. Lei. 6369'!$E$529&gt;0,"2102-2",IF('Atos Serv. Jud. Lei. 6369'!$E$531&gt;0,"3071-0024739-1",IF('Atos Serv. Jud. Lei. 6369'!$E$533&gt;0,"0065-0210279-0",IF('Atos Serv. Jud. Lei. 6369'!$E$535,"0445-0137200-9",IF('Atos Serv. Jud. Lei. 6369'!$E$537&gt;0,"1669-0012095-2","")))))</f>
        <v/>
      </c>
    </row>
    <row r="228" spans="1:21" ht="15" x14ac:dyDescent="0.2">
      <c r="B228" s="375" t="str">
        <f>IF('Atos Serv. Jud. Lei. 6369'!$E$529&gt;0,"2701-1",IF('Atos Serv. Jud. Lei. 6369'!$E$531&gt;0,"2702-9",IF('Atos Serv. Jud. Lei. 6369'!$E$533&gt;0,"2703-7",IF('Atos Serv. Jud. Lei. 6369'!$E$535,"2704-5",IF('Atos Serv. Jud. Lei. 6369'!$E$537,"2705-2","")))))</f>
        <v/>
      </c>
      <c r="C228" s="374" t="str">
        <f>IF(B228="","","Distribuidores (Aviso TJ Nº 22/2013)")</f>
        <v/>
      </c>
      <c r="D228" s="557" t="str">
        <f>IF(B228="","",ABS(O228))</f>
        <v/>
      </c>
      <c r="E228" s="557"/>
      <c r="F228" s="557"/>
      <c r="G228" s="557"/>
      <c r="H228" s="558" t="str">
        <f>IF(B228="","",IF(O228=0,"",IF(M228&gt;L228,"A Recolher","A Maior")))</f>
        <v/>
      </c>
      <c r="I228" s="558"/>
      <c r="J228" s="558"/>
      <c r="K228" s="420"/>
      <c r="L228" s="230">
        <f>IF(B228="",0,ROUNDDOWN(GRERJFINAL!$D$69/P206,2))</f>
        <v>0</v>
      </c>
      <c r="M228" s="230">
        <f t="shared" si="28"/>
        <v>0</v>
      </c>
      <c r="N228" s="226">
        <f ca="1">GRERJFINAL!$F$69/P206</f>
        <v>0</v>
      </c>
      <c r="O228" s="232">
        <f t="shared" si="29"/>
        <v>0</v>
      </c>
      <c r="Q228" s="213">
        <f t="shared" si="30"/>
        <v>0</v>
      </c>
    </row>
    <row r="229" spans="1:21" ht="12.75" customHeight="1" x14ac:dyDescent="0.2">
      <c r="B229" s="386" t="str">
        <f ca="1">IF(D229=0,"","2111-1")</f>
        <v/>
      </c>
      <c r="C229" s="376" t="str">
        <f ca="1">IF(D229=0,"","Multa para Litigância de Má-Fé")</f>
        <v/>
      </c>
      <c r="D229" s="565">
        <f ca="1">ABS(O229)</f>
        <v>0</v>
      </c>
      <c r="E229" s="565"/>
      <c r="F229" s="565"/>
      <c r="G229" s="565"/>
      <c r="H229" s="566" t="str">
        <f ca="1">IF(O229=0,"",IF(M229&gt;L229,"A Recolher","A Maior"))</f>
        <v/>
      </c>
      <c r="I229" s="566"/>
      <c r="J229" s="566"/>
      <c r="K229" s="420"/>
      <c r="L229" s="230">
        <f>ROUNDDOWN(GRERJFINAL!$D$71/P206,2)</f>
        <v>0</v>
      </c>
      <c r="M229" s="230">
        <f ca="1">ROUNDDOWN(N229,2)</f>
        <v>0</v>
      </c>
      <c r="N229" s="226">
        <f ca="1">GRERJFINAL!$F$71/P206</f>
        <v>0</v>
      </c>
      <c r="O229" s="232">
        <f t="shared" ca="1" si="29"/>
        <v>0</v>
      </c>
      <c r="Q229" s="213">
        <f t="shared" ca="1" si="30"/>
        <v>0</v>
      </c>
    </row>
    <row r="230" spans="1:21" ht="12.75" customHeight="1" x14ac:dyDescent="0.2">
      <c r="B230" s="387" t="str">
        <f ca="1">IF(D230=0,"","2210-3")</f>
        <v/>
      </c>
      <c r="C230" s="388" t="str">
        <f ca="1">IF(D230=0,"","Reembolso de Auxílio Pericial")</f>
        <v/>
      </c>
      <c r="D230" s="597">
        <f ca="1">ABS(O230)</f>
        <v>0</v>
      </c>
      <c r="E230" s="597"/>
      <c r="F230" s="597"/>
      <c r="G230" s="597"/>
      <c r="H230" s="571" t="str">
        <f ca="1">IF(O230=0,"",IF(M230&gt;L230,"A Recolher","A Maior"))</f>
        <v/>
      </c>
      <c r="I230" s="571"/>
      <c r="J230" s="571"/>
      <c r="K230" s="420"/>
      <c r="L230" s="230">
        <f>ROUNDDOWN(GRERJFINAL!$D$73/P206,2)</f>
        <v>0</v>
      </c>
      <c r="M230" s="230">
        <f ca="1">ROUNDDOWN(N230,2)</f>
        <v>0</v>
      </c>
      <c r="N230" s="226">
        <f ca="1">GRERJFINAL!$F$73/P206</f>
        <v>0</v>
      </c>
      <c r="O230" s="232">
        <f t="shared" ca="1" si="29"/>
        <v>0</v>
      </c>
      <c r="Q230" s="213">
        <f t="shared" ca="1" si="30"/>
        <v>0</v>
      </c>
    </row>
    <row r="231" spans="1:21" ht="15" x14ac:dyDescent="0.2">
      <c r="A231" s="358"/>
      <c r="B231" s="389" t="str">
        <f ca="1">IF(D231=0,"","2212-9")</f>
        <v/>
      </c>
      <c r="C231" s="360" t="str">
        <f ca="1">IF(D231=0,"","Diversos")</f>
        <v/>
      </c>
      <c r="D231" s="572">
        <f ca="1">ABS(O231)</f>
        <v>0</v>
      </c>
      <c r="E231" s="573"/>
      <c r="F231" s="573"/>
      <c r="G231" s="574"/>
      <c r="H231" s="575" t="str">
        <f ca="1">IF(O231=0,"",IF(M231&gt;L231,"A Recolher","A Maior"))</f>
        <v/>
      </c>
      <c r="I231" s="576"/>
      <c r="J231" s="577"/>
      <c r="K231" s="420"/>
      <c r="L231" s="230">
        <f>ROUNDDOWN(GRERJFINAL!$D$75/P206,2)</f>
        <v>0</v>
      </c>
      <c r="M231" s="230">
        <f ca="1">ROUNDDOWN(N231,2)</f>
        <v>0</v>
      </c>
      <c r="N231" s="226">
        <f ca="1">GRERJFINAL!$F$75/P206</f>
        <v>0</v>
      </c>
      <c r="O231" s="232">
        <f t="shared" ca="1" si="29"/>
        <v>0</v>
      </c>
      <c r="Q231" s="213">
        <f t="shared" ca="1" si="30"/>
        <v>0</v>
      </c>
      <c r="S231" s="359"/>
    </row>
    <row r="232" spans="1:21" ht="15.75" thickBot="1" x14ac:dyDescent="0.25">
      <c r="A232" s="359"/>
      <c r="B232" s="389" t="str">
        <f ca="1">IF(D232=0,"","6246-0088011-6")</f>
        <v/>
      </c>
      <c r="C232" s="360" t="str">
        <f ca="1">IF(D232=0,"","Mediação/Conciliação")</f>
        <v/>
      </c>
      <c r="D232" s="572">
        <f ca="1">ABS(O232)</f>
        <v>0</v>
      </c>
      <c r="E232" s="573"/>
      <c r="F232" s="573"/>
      <c r="G232" s="574"/>
      <c r="H232" s="598" t="str">
        <f ca="1">IF(O232=0,"",IF(M232&gt;L232,"A Recolher","A Maior"))</f>
        <v/>
      </c>
      <c r="I232" s="599"/>
      <c r="J232" s="600"/>
      <c r="K232" s="420"/>
      <c r="L232" s="230">
        <f>ROUNDDOWN(GRERJFINAL!$D$77/P206,2)</f>
        <v>0</v>
      </c>
      <c r="M232" s="230">
        <f ca="1">ROUNDDOWN(N232,2)</f>
        <v>0</v>
      </c>
      <c r="N232" s="226">
        <f ca="1">GRERJFINAL!$F$77/P206</f>
        <v>0</v>
      </c>
      <c r="O232" s="232">
        <f t="shared" ca="1" si="29"/>
        <v>0</v>
      </c>
      <c r="Q232" s="213">
        <f t="shared" ca="1" si="30"/>
        <v>0</v>
      </c>
      <c r="S232" s="359"/>
    </row>
    <row r="233" spans="1:21" ht="15.75" thickBot="1" x14ac:dyDescent="0.25">
      <c r="B233" s="236"/>
      <c r="C233" s="237" t="s">
        <v>366</v>
      </c>
      <c r="D233" s="592">
        <f ca="1">Q233</f>
        <v>0</v>
      </c>
      <c r="E233" s="592"/>
      <c r="F233" s="592"/>
      <c r="G233" s="592"/>
      <c r="H233" s="593"/>
      <c r="I233" s="593"/>
      <c r="J233" s="593"/>
      <c r="K233" s="2"/>
      <c r="L233" s="238"/>
      <c r="M233" s="238"/>
      <c r="N233" s="239"/>
      <c r="O233" s="240"/>
      <c r="Q233" s="213">
        <f ca="1">SUM(Q206:Q232)</f>
        <v>0</v>
      </c>
    </row>
    <row r="234" spans="1:21" ht="15" x14ac:dyDescent="0.2">
      <c r="B234" s="1"/>
      <c r="C234" s="1"/>
      <c r="D234" s="420"/>
      <c r="E234" s="420"/>
      <c r="F234" s="420"/>
      <c r="G234" s="420"/>
      <c r="H234" s="420"/>
      <c r="I234" s="420"/>
      <c r="J234" s="420"/>
      <c r="K234" s="420"/>
      <c r="L234" s="420"/>
      <c r="M234" s="420"/>
    </row>
    <row r="235" spans="1:21" ht="15" x14ac:dyDescent="0.2">
      <c r="B235" s="173" t="s">
        <v>367</v>
      </c>
      <c r="C235" s="216" t="s">
        <v>368</v>
      </c>
      <c r="D235" s="581"/>
      <c r="E235" s="581"/>
      <c r="F235" s="581"/>
      <c r="G235" s="581"/>
      <c r="H235" s="581"/>
      <c r="I235" s="581"/>
      <c r="J235" s="581"/>
      <c r="K235" s="581"/>
    </row>
    <row r="236" spans="1:21" ht="15" x14ac:dyDescent="0.2"/>
    <row r="237" spans="1:21" ht="36.6" customHeight="1" x14ac:dyDescent="0.2">
      <c r="B237" s="241" t="s">
        <v>299</v>
      </c>
      <c r="C237" s="242" t="s">
        <v>300</v>
      </c>
      <c r="D237" s="582" t="s">
        <v>359</v>
      </c>
      <c r="E237" s="582"/>
      <c r="F237" s="582"/>
      <c r="G237" s="582"/>
      <c r="H237" s="583" t="s">
        <v>360</v>
      </c>
      <c r="I237" s="583"/>
      <c r="J237" s="583"/>
      <c r="K237" s="229"/>
      <c r="L237" s="229" t="s">
        <v>361</v>
      </c>
      <c r="M237" s="229" t="s">
        <v>362</v>
      </c>
    </row>
    <row r="238" spans="1:21" ht="15" x14ac:dyDescent="0.2">
      <c r="B238" s="380" t="s">
        <v>337</v>
      </c>
      <c r="C238" s="381" t="s">
        <v>338</v>
      </c>
      <c r="D238" s="584">
        <f ca="1">ABS(O238)</f>
        <v>0</v>
      </c>
      <c r="E238" s="584"/>
      <c r="F238" s="584"/>
      <c r="G238" s="584"/>
      <c r="H238" s="569" t="str">
        <f ca="1">IF(O238=0,"",IF(M238&gt;L238,"A Recolher","A Maior"))</f>
        <v/>
      </c>
      <c r="I238" s="569"/>
      <c r="J238" s="569"/>
      <c r="K238" s="420"/>
      <c r="L238" s="230">
        <f>ROUNDDOWN(GRERJFINAL!$D$82/P206,2)</f>
        <v>0</v>
      </c>
      <c r="M238" s="230">
        <f ca="1">ROUNDDOWN(N238,2)</f>
        <v>0</v>
      </c>
      <c r="N238" s="239">
        <f ca="1">GRERJFINAL!$F$82/P206</f>
        <v>0</v>
      </c>
      <c r="O238" s="243">
        <f ca="1">ROUNDDOWN(L238-M238,2)</f>
        <v>0</v>
      </c>
      <c r="Q238" s="213">
        <f ca="1">IF(H238="A Recolher",D238,0)</f>
        <v>0</v>
      </c>
    </row>
    <row r="239" spans="1:21" ht="12.75" customHeight="1" x14ac:dyDescent="0.2">
      <c r="B239" s="381" t="s">
        <v>307</v>
      </c>
      <c r="C239" s="381" t="s">
        <v>308</v>
      </c>
      <c r="D239" s="578">
        <f ca="1">ABS(O239)</f>
        <v>0</v>
      </c>
      <c r="E239" s="578"/>
      <c r="F239" s="578"/>
      <c r="G239" s="578"/>
      <c r="H239" s="558" t="str">
        <f ca="1">IF(O239=0,"",IF(M239&gt;L239,"A Recolher","A Maior"))</f>
        <v/>
      </c>
      <c r="I239" s="558"/>
      <c r="J239" s="558"/>
      <c r="K239" s="420"/>
      <c r="L239" s="230">
        <f>ROUNDDOWN(GRERJFINAL!$D$84/P206,2)</f>
        <v>0</v>
      </c>
      <c r="M239" s="230">
        <f ca="1">ROUNDDOWN(N239,2)</f>
        <v>0</v>
      </c>
      <c r="N239" s="239">
        <f ca="1">GRERJFINAL!$F$84/P206</f>
        <v>0</v>
      </c>
      <c r="O239" s="243">
        <f ca="1">ROUNDDOWN(L239-M239,2)</f>
        <v>0</v>
      </c>
      <c r="Q239" s="213">
        <f ca="1">IF(H239="A Recolher",D239,0)</f>
        <v>0</v>
      </c>
    </row>
    <row r="240" spans="1:21" ht="15" x14ac:dyDescent="0.2">
      <c r="B240" s="382" t="s">
        <v>317</v>
      </c>
      <c r="C240" s="382" t="s">
        <v>318</v>
      </c>
      <c r="D240" s="578">
        <f ca="1">Q240</f>
        <v>0</v>
      </c>
      <c r="E240" s="578"/>
      <c r="F240" s="578"/>
      <c r="G240" s="578"/>
      <c r="H240" s="558" t="str">
        <f ca="1">IF(D240=0,"",IF(D240="","","A Recolher"))</f>
        <v/>
      </c>
      <c r="I240" s="558"/>
      <c r="J240" s="558"/>
      <c r="K240" s="420"/>
      <c r="L240" s="230"/>
      <c r="M240" s="230"/>
      <c r="N240" s="239"/>
      <c r="O240" s="243"/>
      <c r="Q240" s="213">
        <f ca="1">ROUNDDOWN(SUM(Q238:Q239)*0.1,2)</f>
        <v>0</v>
      </c>
      <c r="T240" s="246"/>
      <c r="U240" s="246"/>
    </row>
    <row r="241" spans="1:20" ht="15" x14ac:dyDescent="0.2">
      <c r="B241" s="382" t="s">
        <v>364</v>
      </c>
      <c r="C241" s="382" t="s">
        <v>326</v>
      </c>
      <c r="D241" s="578">
        <f ca="1">Q241</f>
        <v>0</v>
      </c>
      <c r="E241" s="578"/>
      <c r="F241" s="578"/>
      <c r="G241" s="578"/>
      <c r="H241" s="558" t="str">
        <f ca="1">IF(D241=0,"",IF(D241="","","A Recolher"))</f>
        <v/>
      </c>
      <c r="I241" s="558"/>
      <c r="J241" s="558"/>
      <c r="K241" s="420"/>
      <c r="L241" s="230"/>
      <c r="M241" s="230"/>
      <c r="N241" s="239"/>
      <c r="O241" s="243"/>
      <c r="Q241" s="213">
        <f ca="1">ROUNDDOWN(SUM(Q238:Q239)*0.05,2)</f>
        <v>0</v>
      </c>
      <c r="T241" s="246"/>
    </row>
    <row r="242" spans="1:20" ht="15" x14ac:dyDescent="0.2">
      <c r="B242" s="363" t="s">
        <v>365</v>
      </c>
      <c r="C242" s="383" t="s">
        <v>328</v>
      </c>
      <c r="D242" s="586">
        <f ca="1">D241</f>
        <v>0</v>
      </c>
      <c r="E242" s="586"/>
      <c r="F242" s="586"/>
      <c r="G242" s="586"/>
      <c r="H242" s="558" t="str">
        <f ca="1">IF(D242=0,"",IF(D242="","","A Recolher"))</f>
        <v/>
      </c>
      <c r="I242" s="558"/>
      <c r="J242" s="558"/>
      <c r="K242" s="420"/>
      <c r="L242" s="230"/>
      <c r="M242" s="230"/>
      <c r="N242" s="239"/>
      <c r="O242" s="243"/>
      <c r="Q242" s="213">
        <f ca="1">IF(H242="A Recolher",D242,0)</f>
        <v>0</v>
      </c>
    </row>
    <row r="243" spans="1:20" ht="15.75" thickBot="1" x14ac:dyDescent="0.25">
      <c r="B243" s="236"/>
      <c r="C243" s="244" t="s">
        <v>366</v>
      </c>
      <c r="D243" s="594">
        <f ca="1">Q243</f>
        <v>0</v>
      </c>
      <c r="E243" s="594"/>
      <c r="F243" s="594"/>
      <c r="G243" s="594"/>
      <c r="H243" s="595"/>
      <c r="I243" s="595"/>
      <c r="J243" s="595"/>
      <c r="K243" s="230"/>
      <c r="L243" s="420"/>
      <c r="M243" s="420"/>
      <c r="N243" s="239"/>
      <c r="O243" s="240"/>
      <c r="Q243" s="213">
        <f ca="1">SUM(Q238:Q242)</f>
        <v>0</v>
      </c>
    </row>
    <row r="244" spans="1:20" ht="6" customHeight="1" thickBot="1" x14ac:dyDescent="0.25">
      <c r="B244" s="4"/>
      <c r="C244" s="499"/>
      <c r="D244" s="500"/>
      <c r="E244" s="500"/>
      <c r="F244" s="500"/>
      <c r="G244" s="500"/>
      <c r="H244" s="500"/>
      <c r="I244" s="500"/>
      <c r="J244" s="500"/>
      <c r="K244" s="230"/>
      <c r="L244" s="497"/>
      <c r="M244" s="497"/>
      <c r="N244" s="239"/>
      <c r="O244" s="240"/>
    </row>
    <row r="245" spans="1:20" ht="15" x14ac:dyDescent="0.2">
      <c r="B245" s="245" t="s">
        <v>369</v>
      </c>
      <c r="C245" s="603">
        <f ca="1">TODAY()</f>
        <v>43209</v>
      </c>
      <c r="D245" s="603"/>
      <c r="E245" s="603"/>
      <c r="F245" s="603"/>
      <c r="G245" s="603"/>
      <c r="H245" s="603"/>
      <c r="I245" s="603"/>
      <c r="J245" s="603"/>
      <c r="K245" s="246"/>
      <c r="L245" s="246"/>
      <c r="M245" s="246"/>
      <c r="N245" s="246"/>
      <c r="O245" s="246"/>
      <c r="P245" s="246"/>
      <c r="Q245" s="238"/>
      <c r="R245" s="246"/>
      <c r="S245" s="246"/>
    </row>
    <row r="246" spans="1:20" ht="15" x14ac:dyDescent="0.2">
      <c r="B246" s="245"/>
      <c r="C246" s="245"/>
      <c r="D246" s="421"/>
      <c r="E246" s="421"/>
      <c r="F246" s="421"/>
      <c r="G246" s="421"/>
      <c r="H246" s="421"/>
      <c r="I246" s="421"/>
      <c r="J246" s="421"/>
      <c r="K246" s="421"/>
      <c r="L246" s="246"/>
      <c r="M246" s="246"/>
      <c r="N246" s="246"/>
      <c r="O246" s="246"/>
      <c r="P246" s="246"/>
      <c r="Q246" s="238"/>
      <c r="R246" s="246"/>
      <c r="S246" s="246"/>
    </row>
    <row r="247" spans="1:20" ht="15" x14ac:dyDescent="0.2">
      <c r="B247" s="245"/>
      <c r="D247" s="421"/>
      <c r="E247" s="421"/>
      <c r="F247" s="421"/>
      <c r="G247" s="421"/>
      <c r="H247" s="421"/>
      <c r="I247" s="421"/>
      <c r="J247" s="421"/>
      <c r="K247" s="421"/>
      <c r="L247" s="421"/>
      <c r="M247" s="421"/>
    </row>
    <row r="248" spans="1:20" ht="15" x14ac:dyDescent="0.2">
      <c r="A248" s="585" t="str">
        <f>IF('Atos Serv. Jud. Lei. 6369'!$H$9="","NOME",('Atos Serv. Jud. Lei. 6369'!$H$9))</f>
        <v>NOME</v>
      </c>
      <c r="B248" s="585"/>
      <c r="C248" s="585"/>
      <c r="D248" s="585"/>
      <c r="E248" s="585"/>
      <c r="F248" s="585"/>
      <c r="G248" s="585"/>
      <c r="H248" s="585"/>
      <c r="I248" s="585"/>
      <c r="J248" s="585"/>
      <c r="K248" s="585"/>
      <c r="L248" s="420"/>
      <c r="M248" s="420"/>
    </row>
    <row r="249" spans="1:20" ht="15" x14ac:dyDescent="0.2">
      <c r="A249" s="585" t="str">
        <f>IF('Atos Serv. Jud. Lei. 6369'!$H$11="","MATRÍCULA",'Atos Serv. Jud. Lei. 6369'!$H$11)</f>
        <v>MATRÍCULA</v>
      </c>
      <c r="B249" s="585"/>
      <c r="C249" s="585"/>
      <c r="D249" s="585"/>
      <c r="E249" s="585"/>
      <c r="F249" s="585"/>
      <c r="G249" s="585"/>
      <c r="H249" s="585"/>
      <c r="I249" s="585"/>
      <c r="J249" s="585"/>
      <c r="K249" s="585"/>
      <c r="L249" s="485"/>
      <c r="M249" s="485"/>
    </row>
    <row r="250" spans="1:20" ht="15" x14ac:dyDescent="0.2">
      <c r="A250" s="485"/>
      <c r="B250" s="485"/>
      <c r="C250" s="485"/>
      <c r="D250" s="485"/>
      <c r="E250" s="485"/>
      <c r="F250" s="485"/>
      <c r="G250" s="485"/>
      <c r="H250" s="485"/>
      <c r="I250" s="485"/>
      <c r="J250" s="485"/>
      <c r="K250" s="485"/>
      <c r="L250" s="485"/>
      <c r="M250" s="485"/>
    </row>
    <row r="251" spans="1:20" ht="12.75" customHeight="1" x14ac:dyDescent="0.2">
      <c r="A251" s="596"/>
      <c r="B251" s="596"/>
      <c r="C251" s="596"/>
      <c r="D251" s="596"/>
      <c r="E251" s="596"/>
      <c r="F251" s="596"/>
      <c r="G251" s="596"/>
      <c r="H251" s="596"/>
      <c r="I251" s="596"/>
      <c r="J251" s="596"/>
      <c r="K251" s="596"/>
      <c r="L251" s="596"/>
      <c r="M251" s="596"/>
      <c r="N251" s="596"/>
      <c r="O251" s="596"/>
      <c r="P251" s="596"/>
      <c r="Q251" s="596"/>
      <c r="R251" s="596"/>
    </row>
    <row r="252" spans="1:20" ht="12.75" customHeight="1" x14ac:dyDescent="0.2">
      <c r="A252" s="490"/>
      <c r="B252" s="99" t="s">
        <v>349</v>
      </c>
      <c r="C252" s="490"/>
      <c r="D252" s="490"/>
      <c r="E252" s="490"/>
      <c r="F252" s="490"/>
      <c r="G252" s="490"/>
      <c r="H252" s="490"/>
      <c r="I252" s="490"/>
      <c r="J252" s="490"/>
      <c r="K252" s="490"/>
      <c r="L252" s="490"/>
      <c r="M252" s="490"/>
      <c r="N252" s="490"/>
      <c r="O252" s="490"/>
      <c r="P252" s="490"/>
      <c r="Q252" s="490"/>
      <c r="R252" s="490"/>
    </row>
    <row r="253" spans="1:20" ht="10.5" customHeight="1" x14ac:dyDescent="0.2">
      <c r="B253" s="173" t="s">
        <v>350</v>
      </c>
      <c r="R253" s="214"/>
    </row>
    <row r="254" spans="1:20" ht="10.5" customHeight="1" x14ac:dyDescent="0.2">
      <c r="B254" s="173" t="s">
        <v>351</v>
      </c>
      <c r="R254" s="214"/>
    </row>
    <row r="255" spans="1:20" ht="10.5" customHeight="1" x14ac:dyDescent="0.2">
      <c r="B255" s="173" t="s">
        <v>352</v>
      </c>
      <c r="R255" s="214"/>
    </row>
    <row r="256" spans="1:20" ht="10.5" customHeight="1" x14ac:dyDescent="0.2">
      <c r="B256" s="173" t="s">
        <v>353</v>
      </c>
      <c r="R256" s="214"/>
    </row>
    <row r="257" spans="1:17" s="173" customFormat="1" ht="11.25" customHeight="1" x14ac:dyDescent="0.2">
      <c r="B257" s="173" t="s">
        <v>354</v>
      </c>
      <c r="Q257" s="215"/>
    </row>
    <row r="258" spans="1:17" ht="11.25" customHeight="1" x14ac:dyDescent="0.2">
      <c r="B258" s="173" t="s">
        <v>355</v>
      </c>
    </row>
    <row r="259" spans="1:17" ht="6" customHeight="1" x14ac:dyDescent="0.2">
      <c r="J259" s="214"/>
      <c r="K259" s="214"/>
    </row>
    <row r="260" spans="1:17" ht="15" x14ac:dyDescent="0.2">
      <c r="A260" s="216" t="s">
        <v>356</v>
      </c>
      <c r="B260" s="217" t="str">
        <f>IF('Atos Serv. Jud. Lei. 6369'!$H$7=0,"",'Atos Serv. Jud. Lei. 6369'!$H$7)</f>
        <v/>
      </c>
      <c r="E260" s="218"/>
      <c r="F260" s="218"/>
      <c r="G260" s="218"/>
      <c r="H260" s="218"/>
      <c r="I260" s="218"/>
      <c r="J260" s="218"/>
      <c r="K260" s="218"/>
      <c r="L260" s="218"/>
    </row>
    <row r="261" spans="1:17" ht="6" customHeight="1" x14ac:dyDescent="0.2">
      <c r="A261" s="216"/>
      <c r="B261" s="219"/>
      <c r="C261" s="220"/>
      <c r="D261" s="220"/>
      <c r="E261" s="220"/>
      <c r="F261" s="221"/>
      <c r="G261" s="220"/>
      <c r="H261" s="221"/>
      <c r="I261" s="220"/>
      <c r="J261" s="218"/>
      <c r="K261" s="218"/>
    </row>
    <row r="262" spans="1:17" ht="18" x14ac:dyDescent="0.25">
      <c r="A262" s="559" t="s">
        <v>357</v>
      </c>
      <c r="B262" s="559"/>
      <c r="C262" s="559"/>
      <c r="D262" s="559"/>
      <c r="E262" s="559"/>
      <c r="F262" s="559"/>
      <c r="G262" s="559"/>
      <c r="H262" s="559"/>
      <c r="I262" s="559"/>
      <c r="J262" s="559"/>
      <c r="K262" s="559"/>
      <c r="L262" s="419"/>
      <c r="M262" s="222"/>
      <c r="N262" s="222"/>
      <c r="O262" s="222"/>
      <c r="P262" s="222"/>
    </row>
    <row r="264" spans="1:17" ht="15" x14ac:dyDescent="0.2">
      <c r="B264" s="223" t="s">
        <v>358</v>
      </c>
      <c r="C264" s="223"/>
      <c r="E264" s="223"/>
      <c r="F264" s="223"/>
      <c r="H264" s="224"/>
      <c r="I264" s="224"/>
      <c r="J264" s="224"/>
      <c r="K264" s="224"/>
      <c r="L264" s="224"/>
    </row>
    <row r="265" spans="1:17" ht="15.75" x14ac:dyDescent="0.25">
      <c r="A265" s="216"/>
      <c r="B265" s="247">
        <f>GRERJFINAL!C17</f>
        <v>0</v>
      </c>
      <c r="C265" s="216"/>
      <c r="D265" s="218"/>
      <c r="E265" s="223"/>
      <c r="F265" s="223"/>
      <c r="H265" s="224"/>
      <c r="I265" s="224"/>
      <c r="J265" s="224"/>
      <c r="K265" s="224"/>
      <c r="L265" s="224"/>
    </row>
    <row r="266" spans="1:17" ht="15" customHeight="1" x14ac:dyDescent="0.2">
      <c r="B266" s="560" t="str">
        <f>IF(GRERJFINAL!$P$9&lt;2,"","Valores corrigidos na proporção de")</f>
        <v/>
      </c>
      <c r="C266" s="560"/>
      <c r="D266" s="226" t="str">
        <f>IF(GRERJFINAL!$P$9&lt;2,"",IF(GRERJFINAL!G17="",O266,GRERJFINAL!G17))</f>
        <v/>
      </c>
      <c r="E266" s="212" t="str">
        <f>IF(GRERJFINAL!$P$9&lt;2,"","%")</f>
        <v/>
      </c>
      <c r="N266" s="213"/>
      <c r="O266" s="216" t="e">
        <f>IF(GRERJFINAL!G17="",ROUND(100/GRERJFINAL!$P$9,2),GRERJFINAL!G17)</f>
        <v>#DIV/0!</v>
      </c>
    </row>
    <row r="268" spans="1:17" ht="36.75" customHeight="1" x14ac:dyDescent="0.2">
      <c r="B268" s="227" t="s">
        <v>299</v>
      </c>
      <c r="C268" s="228" t="s">
        <v>300</v>
      </c>
      <c r="D268" s="561" t="s">
        <v>359</v>
      </c>
      <c r="E268" s="561"/>
      <c r="F268" s="561"/>
      <c r="G268" s="561"/>
      <c r="H268" s="562" t="s">
        <v>360</v>
      </c>
      <c r="I268" s="562"/>
      <c r="J268" s="562"/>
      <c r="K268" s="229"/>
      <c r="L268" s="229" t="s">
        <v>361</v>
      </c>
      <c r="M268" s="229" t="s">
        <v>362</v>
      </c>
      <c r="N268" s="214"/>
    </row>
    <row r="269" spans="1:17" ht="15" x14ac:dyDescent="0.2">
      <c r="B269" s="361" t="s">
        <v>304</v>
      </c>
      <c r="C269" s="362" t="s">
        <v>363</v>
      </c>
      <c r="D269" s="563">
        <f t="shared" ref="D269:D274" ca="1" si="31">ABS(O269)</f>
        <v>0</v>
      </c>
      <c r="E269" s="563"/>
      <c r="F269" s="563"/>
      <c r="G269" s="563"/>
      <c r="H269" s="564" t="str">
        <f t="shared" ref="H269:H274" ca="1" si="32">IF(O269=0,"",IF(M269&gt;L269,"A Recolher","A Maior"))</f>
        <v/>
      </c>
      <c r="I269" s="564"/>
      <c r="J269" s="564"/>
      <c r="K269" s="420"/>
      <c r="L269" s="230">
        <f>ROUNDDOWN(GRERJFINAL!$D$24/P269,2)</f>
        <v>0</v>
      </c>
      <c r="M269" s="230">
        <f t="shared" ref="M269:M274" ca="1" si="33">ROUNDDOWN(N269,2)</f>
        <v>0</v>
      </c>
      <c r="N269" s="231">
        <f ca="1">GRERJFINAL!$F$24/P269</f>
        <v>0</v>
      </c>
      <c r="O269" s="232">
        <f t="shared" ref="O269:O276" ca="1" si="34">ROUNDDOWN(L269-M269,2)</f>
        <v>0</v>
      </c>
      <c r="P269" s="212">
        <f>IF(GRERJFINAL!C17="",10000000000,IF(GRERJFINAL!G17="",GRERJFINAL!$P$9,100/GRERJFINAL!G17))</f>
        <v>10000000000</v>
      </c>
      <c r="Q269" s="213">
        <f t="shared" ref="Q269:Q276" ca="1" si="35">IF(H269="A Recolher",D269,0)</f>
        <v>0</v>
      </c>
    </row>
    <row r="270" spans="1:17" ht="15" x14ac:dyDescent="0.2">
      <c r="B270" s="363" t="s">
        <v>307</v>
      </c>
      <c r="C270" s="364" t="s">
        <v>308</v>
      </c>
      <c r="D270" s="557">
        <f t="shared" ca="1" si="31"/>
        <v>0</v>
      </c>
      <c r="E270" s="557"/>
      <c r="F270" s="557"/>
      <c r="G270" s="557"/>
      <c r="H270" s="558" t="str">
        <f t="shared" ca="1" si="32"/>
        <v/>
      </c>
      <c r="I270" s="558"/>
      <c r="J270" s="558"/>
      <c r="K270" s="420"/>
      <c r="L270" s="230">
        <f>ROUNDDOWN(GRERJFINAL!$D$26/P269,2)</f>
        <v>0</v>
      </c>
      <c r="M270" s="230">
        <f t="shared" ca="1" si="33"/>
        <v>0</v>
      </c>
      <c r="N270" s="233">
        <f ca="1">GRERJFINAL!$F$26/P269</f>
        <v>0</v>
      </c>
      <c r="O270" s="232">
        <f t="shared" ca="1" si="34"/>
        <v>0</v>
      </c>
      <c r="Q270" s="213">
        <f t="shared" ca="1" si="35"/>
        <v>0</v>
      </c>
    </row>
    <row r="271" spans="1:17" ht="15" x14ac:dyDescent="0.2">
      <c r="B271" s="363" t="s">
        <v>309</v>
      </c>
      <c r="C271" s="364" t="s">
        <v>310</v>
      </c>
      <c r="D271" s="557">
        <f t="shared" ca="1" si="31"/>
        <v>0</v>
      </c>
      <c r="E271" s="557"/>
      <c r="F271" s="557"/>
      <c r="G271" s="557"/>
      <c r="H271" s="558" t="str">
        <f t="shared" ca="1" si="32"/>
        <v/>
      </c>
      <c r="I271" s="558"/>
      <c r="J271" s="558"/>
      <c r="K271" s="420"/>
      <c r="L271" s="230">
        <f>ROUNDDOWN(GRERJFINAL!$D$28/P269,2)</f>
        <v>0</v>
      </c>
      <c r="M271" s="230">
        <f t="shared" ca="1" si="33"/>
        <v>0</v>
      </c>
      <c r="N271" s="231">
        <f ca="1">GRERJFINAL!$F$28/P269</f>
        <v>0</v>
      </c>
      <c r="O271" s="232">
        <f t="shared" ca="1" si="34"/>
        <v>0</v>
      </c>
      <c r="Q271" s="213">
        <f t="shared" ca="1" si="35"/>
        <v>0</v>
      </c>
    </row>
    <row r="272" spans="1:17" ht="15" x14ac:dyDescent="0.2">
      <c r="B272" s="363" t="s">
        <v>311</v>
      </c>
      <c r="C272" s="364" t="s">
        <v>312</v>
      </c>
      <c r="D272" s="557">
        <f t="shared" ca="1" si="31"/>
        <v>0</v>
      </c>
      <c r="E272" s="557"/>
      <c r="F272" s="557"/>
      <c r="G272" s="557"/>
      <c r="H272" s="558" t="str">
        <f t="shared" ca="1" si="32"/>
        <v/>
      </c>
      <c r="I272" s="558"/>
      <c r="J272" s="558"/>
      <c r="K272" s="420"/>
      <c r="L272" s="230">
        <f>ROUNDDOWN(GRERJFINAL!$D$30/P269,2)</f>
        <v>0</v>
      </c>
      <c r="M272" s="230">
        <f t="shared" ca="1" si="33"/>
        <v>0</v>
      </c>
      <c r="N272" s="233">
        <f ca="1">GRERJFINAL!$F$30/P269</f>
        <v>0</v>
      </c>
      <c r="O272" s="232">
        <f t="shared" ca="1" si="34"/>
        <v>0</v>
      </c>
      <c r="Q272" s="213">
        <f t="shared" ca="1" si="35"/>
        <v>0</v>
      </c>
    </row>
    <row r="273" spans="1:19" ht="15" x14ac:dyDescent="0.2">
      <c r="B273" s="363" t="s">
        <v>313</v>
      </c>
      <c r="C273" s="364" t="s">
        <v>314</v>
      </c>
      <c r="D273" s="557">
        <f t="shared" ca="1" si="31"/>
        <v>0</v>
      </c>
      <c r="E273" s="557"/>
      <c r="F273" s="557"/>
      <c r="G273" s="557"/>
      <c r="H273" s="558" t="str">
        <f t="shared" ca="1" si="32"/>
        <v/>
      </c>
      <c r="I273" s="558"/>
      <c r="J273" s="558"/>
      <c r="K273" s="420"/>
      <c r="L273" s="230">
        <f>ROUNDDOWN(GRERJFINAL!$D$33/P269,2)</f>
        <v>0</v>
      </c>
      <c r="M273" s="230">
        <f t="shared" ca="1" si="33"/>
        <v>0</v>
      </c>
      <c r="N273" s="233">
        <f ca="1">GRERJFINAL!$F$33/P269</f>
        <v>0</v>
      </c>
      <c r="O273" s="232">
        <f t="shared" ca="1" si="34"/>
        <v>0</v>
      </c>
      <c r="Q273" s="213">
        <f t="shared" ca="1" si="35"/>
        <v>0</v>
      </c>
    </row>
    <row r="274" spans="1:19" ht="15" x14ac:dyDescent="0.2">
      <c r="B274" s="363" t="s">
        <v>315</v>
      </c>
      <c r="C274" s="364" t="s">
        <v>316</v>
      </c>
      <c r="D274" s="557">
        <f t="shared" ca="1" si="31"/>
        <v>0</v>
      </c>
      <c r="E274" s="557"/>
      <c r="F274" s="557"/>
      <c r="G274" s="557"/>
      <c r="H274" s="558" t="str">
        <f t="shared" ca="1" si="32"/>
        <v/>
      </c>
      <c r="I274" s="558"/>
      <c r="J274" s="558"/>
      <c r="K274" s="420"/>
      <c r="L274" s="230">
        <f>ROUNDDOWN(GRERJFINAL!$D$35/P269,2)</f>
        <v>0</v>
      </c>
      <c r="M274" s="230">
        <f t="shared" ca="1" si="33"/>
        <v>0</v>
      </c>
      <c r="N274" s="231">
        <f ca="1">GRERJFINAL!$F$35/P269</f>
        <v>0</v>
      </c>
      <c r="O274" s="232">
        <f t="shared" ca="1" si="34"/>
        <v>0</v>
      </c>
      <c r="Q274" s="213">
        <f t="shared" ca="1" si="35"/>
        <v>0</v>
      </c>
    </row>
    <row r="275" spans="1:19" ht="15" customHeight="1" x14ac:dyDescent="0.2">
      <c r="B275" s="363" t="str">
        <f>IF('Atos Serv. Jud. Lei. 6369'!$O$299&gt;1,"ERRO",IF('Atos Serv. Jud. Lei. 6369'!$O$299=0,"",IF('Atos Serv. Jud. Lei. 6369'!$F$318=1,"1108-0",IF('Atos Serv. Jud. Lei. 6369'!$F$314=1,"1114-0","1108-0"))))</f>
        <v/>
      </c>
      <c r="C275" s="365" t="str">
        <f>IF('Atos Serv. Jud. Lei. 6369'!$O$299&gt;1,"ERRO",IF('Atos Serv. Jud. Lei. 6369'!$O$299=0,"",IF('Atos Serv. Jud. Lei. 6369'!$F$318=1,"Avaliação por Oficial de Justiça",IF('Atos Serv. Jud. Lei. 6369'!$F$314=1,"Central de Avaliadores da Capital","Atos dos Avaliadores Judiciais"))))</f>
        <v/>
      </c>
      <c r="D275" s="557" t="str">
        <f>IF(B275="","",ABS(O275))</f>
        <v/>
      </c>
      <c r="E275" s="557"/>
      <c r="F275" s="557"/>
      <c r="G275" s="557"/>
      <c r="H275" s="558" t="str">
        <f>IF(B275="","",IF(O275=0,"",IF(M275&gt;L275,"A Recolher","A Maior")))</f>
        <v/>
      </c>
      <c r="I275" s="558"/>
      <c r="J275" s="558"/>
      <c r="K275" s="234"/>
      <c r="L275" s="235">
        <f>IF(B275="",0,ROUNDDOWN(GRERJFINAL!$D$37/P269,2))</f>
        <v>0</v>
      </c>
      <c r="M275" s="235">
        <f>IF(B275="",0,ROUNDDOWN(N275,2))</f>
        <v>0</v>
      </c>
      <c r="N275" s="231">
        <f ca="1">GRERJFINAL!$F$37/P269</f>
        <v>0</v>
      </c>
      <c r="O275" s="232">
        <f t="shared" si="34"/>
        <v>0</v>
      </c>
      <c r="Q275" s="213">
        <f t="shared" si="35"/>
        <v>0</v>
      </c>
    </row>
    <row r="276" spans="1:19" ht="15" x14ac:dyDescent="0.2">
      <c r="B276" s="363" t="str">
        <f>IF(GRERJFINAL!$C$39="Avaliador Judicial",GRERJFINAL!$B$39,"")</f>
        <v/>
      </c>
      <c r="C276" s="364" t="str">
        <f>IF('Atos Serv. Jud. Lei. 6369'!$O$299&gt;1,"ERRO",IF('Atos Serv. Jud. Lei. 6369'!$F$316=1,"Avaliador Judicial",""))</f>
        <v/>
      </c>
      <c r="D276" s="557" t="str">
        <f>IF(B276="","",ABS(O276))</f>
        <v/>
      </c>
      <c r="E276" s="557"/>
      <c r="F276" s="557"/>
      <c r="G276" s="557"/>
      <c r="H276" s="558" t="str">
        <f>IF(B276="","",IF(O276=0,"",IF(M276&gt;L276,"A Recolher","A Maior")))</f>
        <v/>
      </c>
      <c r="I276" s="558"/>
      <c r="J276" s="558"/>
      <c r="K276" s="420"/>
      <c r="L276" s="230">
        <f>IF(B276="",0,IF(GRERJFINAL!$C$39="Avaliador Judicial",ROUNDDOWN(GRERJFINAL!$D$39/P269,2),0))</f>
        <v>0</v>
      </c>
      <c r="M276" s="230">
        <f>IF(B276="",0,ROUNDDOWN(N276,2))</f>
        <v>0</v>
      </c>
      <c r="N276" s="231">
        <f ca="1">GRERJFINAL!$F$39/P269</f>
        <v>0</v>
      </c>
      <c r="O276" s="232">
        <f t="shared" si="34"/>
        <v>0</v>
      </c>
      <c r="Q276" s="213">
        <f t="shared" si="35"/>
        <v>0</v>
      </c>
    </row>
    <row r="277" spans="1:19" ht="15" x14ac:dyDescent="0.2">
      <c r="B277" s="366" t="s">
        <v>317</v>
      </c>
      <c r="C277" s="367" t="s">
        <v>318</v>
      </c>
      <c r="D277" s="557">
        <f ca="1">Q277</f>
        <v>0</v>
      </c>
      <c r="E277" s="557"/>
      <c r="F277" s="557"/>
      <c r="G277" s="557"/>
      <c r="H277" s="558" t="str">
        <f ca="1">IF(D277=0,"",IF(D277="","","A Recolher"))</f>
        <v/>
      </c>
      <c r="I277" s="558"/>
      <c r="J277" s="558"/>
      <c r="K277" s="420"/>
      <c r="L277" s="230"/>
      <c r="M277" s="230"/>
      <c r="N277" s="233"/>
      <c r="O277" s="232"/>
      <c r="Q277" s="213">
        <f ca="1">ROUNDDOWN(SUM(Q269:Q276)*0.1,2)</f>
        <v>0</v>
      </c>
    </row>
    <row r="278" spans="1:19" ht="15" x14ac:dyDescent="0.2">
      <c r="A278" s="213"/>
      <c r="B278" s="368" t="str">
        <f>S278</f>
        <v/>
      </c>
      <c r="C278" s="369" t="str">
        <f ca="1">IF(D278="ERRO","Mais de um distribuidor marcado","Atos dos Distribuidores")</f>
        <v>Atos dos Distribuidores</v>
      </c>
      <c r="D278" s="557">
        <f ca="1">IF(GRERJFINAL!F274="ERRO","ERRO",ABS(O278))</f>
        <v>0</v>
      </c>
      <c r="E278" s="557"/>
      <c r="F278" s="557"/>
      <c r="G278" s="557"/>
      <c r="H278" s="558" t="str">
        <f ca="1">IF(D278="ERRO","ERRO",IF(O278=0,"",IF(M278&gt;L278,"A Recolher","A Maior")))</f>
        <v/>
      </c>
      <c r="I278" s="558"/>
      <c r="J278" s="558"/>
      <c r="K278" s="420"/>
      <c r="L278" s="230">
        <f>ROUNDDOWN(GRERJFINAL!$D$43/P269,2)</f>
        <v>0</v>
      </c>
      <c r="M278" s="230">
        <f ca="1">ROUNDDOWN(N278,2)</f>
        <v>0</v>
      </c>
      <c r="N278" s="233">
        <f ca="1">GRERJFINAL!$F$43/P269</f>
        <v>0</v>
      </c>
      <c r="O278" s="232">
        <f ca="1">ROUNDDOWN(L278-M278,2)</f>
        <v>0</v>
      </c>
      <c r="Q278" s="213">
        <f ca="1">IF(H278="A Recolher",D278,0)</f>
        <v>0</v>
      </c>
      <c r="S278" s="212" t="str">
        <f>IF('Atos Serv. Jud. Lei. 6369'!$E$433&gt;0,"2102-2",IF('Atos Serv. Jud. Lei. 6369'!$E$435&gt;0,"3071-0024739-1",IF('Atos Serv. Jud. Lei. 6369'!$E$437&gt;0,"0065-0210279-0",IF('Atos Serv. Jud. Lei. 6369'!$E$439,"0445-0137200-9",IF('Atos Serv. Jud. Lei. 6369'!$E$441&gt;0,"1669-0012095-2","")))))</f>
        <v/>
      </c>
    </row>
    <row r="279" spans="1:19" ht="15" x14ac:dyDescent="0.2">
      <c r="A279" s="213"/>
      <c r="B279" s="370" t="str">
        <f>IF('Atos Serv. Jud. Lei. 6369'!$E$433&gt;0,"2701-1",IF('Atos Serv. Jud. Lei. 6369'!$E$435&gt;0,"2702-9",IF('Atos Serv. Jud. Lei. 6369'!$E$437&gt;0,"2703-7",IF('Atos Serv. Jud. Lei. 6369'!$E$439,"2704-5",IF('Atos Serv. Jud. Lei. 6369'!$E$441,"2705-2","")))))</f>
        <v/>
      </c>
      <c r="C279" s="369" t="str">
        <f>IF(B279="","","Distribuidores (Aviso TJ Nº 22/2013)")</f>
        <v/>
      </c>
      <c r="D279" s="557" t="str">
        <f>IF(B279="","",ABS(O279))</f>
        <v/>
      </c>
      <c r="E279" s="557"/>
      <c r="F279" s="557"/>
      <c r="G279" s="557"/>
      <c r="H279" s="558" t="str">
        <f>IF(B279="","",IF(O279=0,"",IF(M279&gt;L279,"A Recolher","A Maior")))</f>
        <v/>
      </c>
      <c r="I279" s="558"/>
      <c r="J279" s="558"/>
      <c r="K279" s="420"/>
      <c r="L279" s="230">
        <f>ROUNDDOWN(GRERJFINAL!$D$45/P269,2)</f>
        <v>0</v>
      </c>
      <c r="M279" s="230">
        <f ca="1">ROUNDDOWN(N279,2)</f>
        <v>0</v>
      </c>
      <c r="N279" s="233">
        <f ca="1">GRERJFINAL!$F$45/P269</f>
        <v>0</v>
      </c>
      <c r="O279" s="232">
        <f ca="1">ROUNDDOWN(L279-M279,2)</f>
        <v>0</v>
      </c>
      <c r="Q279" s="213">
        <f>IF(H279="A Recolher",D279,0)</f>
        <v>0</v>
      </c>
    </row>
    <row r="280" spans="1:19" ht="15" x14ac:dyDescent="0.2">
      <c r="B280" s="368" t="s">
        <v>321</v>
      </c>
      <c r="C280" s="364" t="s">
        <v>322</v>
      </c>
      <c r="D280" s="557">
        <f ca="1">Q280</f>
        <v>0</v>
      </c>
      <c r="E280" s="557"/>
      <c r="F280" s="557"/>
      <c r="G280" s="557"/>
      <c r="H280" s="558" t="str">
        <f ca="1">IF(D280=0,"",IF(D280="","","A Recolher"))</f>
        <v/>
      </c>
      <c r="I280" s="558"/>
      <c r="J280" s="558"/>
      <c r="K280" s="420"/>
      <c r="L280" s="230"/>
      <c r="M280" s="230"/>
      <c r="N280" s="233"/>
      <c r="O280" s="232"/>
      <c r="Q280" s="213">
        <f ca="1">IF((Q278+Q284+Q286+Q288+Q290)=0,0,ROUNDDOWN((Q278+Q284+Q286+Q288+Q290)*0.2,2))</f>
        <v>0</v>
      </c>
    </row>
    <row r="281" spans="1:19" ht="15" x14ac:dyDescent="0.2">
      <c r="B281" s="363" t="s">
        <v>323</v>
      </c>
      <c r="C281" s="364" t="s">
        <v>324</v>
      </c>
      <c r="D281" s="557">
        <f ca="1">ABS(O281)</f>
        <v>0</v>
      </c>
      <c r="E281" s="557"/>
      <c r="F281" s="557"/>
      <c r="G281" s="557"/>
      <c r="H281" s="558" t="str">
        <f ca="1">IF(O281=0,"",IF(M281&gt;L281,"A Recolher","A Maior"))</f>
        <v/>
      </c>
      <c r="I281" s="558"/>
      <c r="J281" s="558"/>
      <c r="K281" s="420"/>
      <c r="L281" s="230">
        <f>ROUNDDOWN(GRERJFINAL!$D$49/P269,2)</f>
        <v>0</v>
      </c>
      <c r="M281" s="230">
        <f ca="1">ROUNDDOWN(N281,2)</f>
        <v>0</v>
      </c>
      <c r="N281" s="231">
        <f ca="1">GRERJFINAL!$F$49/P269</f>
        <v>0</v>
      </c>
      <c r="O281" s="232">
        <f ca="1">ROUNDDOWN(L281-M281,2)</f>
        <v>0</v>
      </c>
      <c r="P281" s="139"/>
      <c r="Q281" s="213">
        <f ca="1">IF(H281="A Recolher",D281,0)</f>
        <v>0</v>
      </c>
      <c r="R281" s="139"/>
    </row>
    <row r="282" spans="1:19" ht="15" x14ac:dyDescent="0.2">
      <c r="B282" s="363" t="s">
        <v>364</v>
      </c>
      <c r="C282" s="364" t="s">
        <v>326</v>
      </c>
      <c r="D282" s="557">
        <f ca="1">Q282</f>
        <v>0</v>
      </c>
      <c r="E282" s="557"/>
      <c r="F282" s="557"/>
      <c r="G282" s="557"/>
      <c r="H282" s="558" t="str">
        <f ca="1">IF(D282=0,"",IF(D282="","","A Recolher"))</f>
        <v/>
      </c>
      <c r="I282" s="558"/>
      <c r="J282" s="558"/>
      <c r="K282" s="420"/>
      <c r="L282" s="230"/>
      <c r="M282" s="230"/>
      <c r="N282" s="233"/>
      <c r="O282" s="232"/>
      <c r="Q282" s="213">
        <f ca="1">ROUNDDOWN((SUM(Q269:Q276)+Q278+Q284+Q286+Q288+Q290)*0.05,2)</f>
        <v>0</v>
      </c>
    </row>
    <row r="283" spans="1:19" ht="15" x14ac:dyDescent="0.2">
      <c r="B283" s="363" t="s">
        <v>365</v>
      </c>
      <c r="C283" s="371" t="s">
        <v>328</v>
      </c>
      <c r="D283" s="567">
        <f ca="1">D282</f>
        <v>0</v>
      </c>
      <c r="E283" s="567"/>
      <c r="F283" s="567"/>
      <c r="G283" s="567"/>
      <c r="H283" s="591" t="str">
        <f ca="1">IF(D283=0,"",IF(D283="","","A Recolher"))</f>
        <v/>
      </c>
      <c r="I283" s="591"/>
      <c r="J283" s="591"/>
      <c r="K283" s="420"/>
      <c r="L283" s="230"/>
      <c r="M283" s="230"/>
      <c r="N283" s="233"/>
      <c r="O283" s="232"/>
      <c r="Q283" s="213">
        <f ca="1">Q282</f>
        <v>0</v>
      </c>
    </row>
    <row r="284" spans="1:19" ht="15" x14ac:dyDescent="0.2">
      <c r="B284" s="363" t="str">
        <f>S284</f>
        <v/>
      </c>
      <c r="C284" s="369" t="str">
        <f>IF(B284="","",IF(D284="ERRO","Mais de um distribuidor marcado","Atos dos Distribuidores"))</f>
        <v/>
      </c>
      <c r="D284" s="565">
        <f>IF(GRERJFINAL!F286="ERRO","ERRO",IF(B284="",0,ABS(O284)))</f>
        <v>0</v>
      </c>
      <c r="E284" s="565"/>
      <c r="F284" s="565"/>
      <c r="G284" s="565"/>
      <c r="H284" s="558" t="str">
        <f>IF(D284="ERRO","ERRO",IF(B284="","",IF(O284=0,"",IF(M284&gt;L284,"A Recolher","A Maior"))))</f>
        <v/>
      </c>
      <c r="I284" s="558"/>
      <c r="J284" s="558"/>
      <c r="K284" s="420"/>
      <c r="L284" s="230">
        <f>IF(B284="",0,ROUNDDOWN(GRERJFINAL!$D$55/P269,2))</f>
        <v>0</v>
      </c>
      <c r="M284" s="230">
        <f t="shared" ref="M284:M291" si="36">IF(B284="",0,ROUNDDOWN(N284,2))</f>
        <v>0</v>
      </c>
      <c r="N284" s="226">
        <f ca="1">GRERJFINAL!$F$55/P269</f>
        <v>0</v>
      </c>
      <c r="O284" s="232">
        <f t="shared" ref="O284:O295" si="37">ROUNDDOWN(L284-M284,2)</f>
        <v>0</v>
      </c>
      <c r="Q284" s="213">
        <f t="shared" ref="Q284:Q295" si="38">IF(H284="A Recolher",D284,0)</f>
        <v>0</v>
      </c>
      <c r="S284" s="212" t="str">
        <f>IF('Atos Serv. Jud. Lei. 6369'!$E$457&gt;0,"2102-2",IF('Atos Serv. Jud. Lei. 6369'!$E$459&gt;0,"3071-0024739-1",IF('Atos Serv. Jud. Lei. 6369'!$E$461&gt;0,"0065-0210279-0",IF('Atos Serv. Jud. Lei. 6369'!$E$463,"0445-0137200-9",IF('Atos Serv. Jud. Lei. 6369'!$E$465&gt;0,"1669-0012095-2","")))))</f>
        <v/>
      </c>
    </row>
    <row r="285" spans="1:19" ht="15" x14ac:dyDescent="0.2">
      <c r="B285" s="372" t="str">
        <f>IF('Atos Serv. Jud. Lei. 6369'!$E$457&gt;0,"2701-1",IF('Atos Serv. Jud. Lei. 6369'!$E$459&gt;0,"2702-9",IF('Atos Serv. Jud. Lei. 6369'!$E$461&gt;0,"2703-7",IF('Atos Serv. Jud. Lei. 6369'!$E$463,"2704-5",IF('Atos Serv. Jud. Lei. 6369'!$E$465,"2705-2","")))))</f>
        <v/>
      </c>
      <c r="C285" s="369" t="str">
        <f>IF(B285="","","Distribuidores (Aviso TJ Nº 22/2013)")</f>
        <v/>
      </c>
      <c r="D285" s="557" t="str">
        <f>IF(B285="","",ABS(O285))</f>
        <v/>
      </c>
      <c r="E285" s="557"/>
      <c r="F285" s="557"/>
      <c r="G285" s="557"/>
      <c r="H285" s="558" t="str">
        <f>IF(B285="","",IF(O285=0,"",IF(M285&gt;L285,"A Recolher","A Maior")))</f>
        <v/>
      </c>
      <c r="I285" s="558"/>
      <c r="J285" s="558"/>
      <c r="K285" s="420"/>
      <c r="L285" s="230">
        <f>IF(B285="",0,ROUNDDOWN(GRERJFINAL!$D$57/P269,2))</f>
        <v>0</v>
      </c>
      <c r="M285" s="230">
        <f t="shared" si="36"/>
        <v>0</v>
      </c>
      <c r="N285" s="226">
        <f ca="1">GRERJFINAL!$F$57/P269</f>
        <v>0</v>
      </c>
      <c r="O285" s="232">
        <f t="shared" si="37"/>
        <v>0</v>
      </c>
      <c r="Q285" s="213">
        <f t="shared" si="38"/>
        <v>0</v>
      </c>
    </row>
    <row r="286" spans="1:19" ht="15" x14ac:dyDescent="0.2">
      <c r="B286" s="373" t="str">
        <f>S286</f>
        <v/>
      </c>
      <c r="C286" s="374" t="str">
        <f>IF(B286="","",IF(D286="ERRO","Mais de um distribuidor marcado","Atos dos Distribuidores"))</f>
        <v/>
      </c>
      <c r="D286" s="565">
        <f>IF(GRERJFINAL!F290="ERRO","ERRO",IF(B286="",0,ABS(O286)))</f>
        <v>0</v>
      </c>
      <c r="E286" s="565"/>
      <c r="F286" s="565"/>
      <c r="G286" s="565"/>
      <c r="H286" s="566" t="str">
        <f>IF(D286="ERRO","ERRO",IF(B286="","",IF(O286=0,"",IF(M286&gt;L286,"A Recolher","A Maior"))))</f>
        <v/>
      </c>
      <c r="I286" s="566"/>
      <c r="J286" s="566"/>
      <c r="K286" s="420"/>
      <c r="L286" s="230">
        <f>IF(B286="",0,ROUNDDOWN(GRERJFINAL!$D$59/P269,2))</f>
        <v>0</v>
      </c>
      <c r="M286" s="230">
        <f t="shared" si="36"/>
        <v>0</v>
      </c>
      <c r="N286" s="226">
        <f ca="1">GRERJFINAL!$F$59/P269</f>
        <v>0</v>
      </c>
      <c r="O286" s="232">
        <f t="shared" si="37"/>
        <v>0</v>
      </c>
      <c r="Q286" s="213">
        <f t="shared" si="38"/>
        <v>0</v>
      </c>
      <c r="S286" s="212" t="str">
        <f>IF('Atos Serv. Jud. Lei. 6369'!$E$481&gt;0,"2102-2",IF('Atos Serv. Jud. Lei. 6369'!$E$483&gt;0,"3071-0024739-1",IF('Atos Serv. Jud. Lei. 6369'!$E$485&gt;0,"0065-0210279-0",IF('Atos Serv. Jud. Lei. 6369'!$E$487,"0445-0137200-9",IF('Atos Serv. Jud. Lei. 6369'!$E$489&gt;0,"1669-0012095-2","")))))</f>
        <v/>
      </c>
    </row>
    <row r="287" spans="1:19" ht="15" x14ac:dyDescent="0.2">
      <c r="B287" s="375" t="str">
        <f>IF('Atos Serv. Jud. Lei. 6369'!$E$481&gt;0,"2701-1",IF('Atos Serv. Jud. Lei. 6369'!$E$483&gt;0,"2702-9",IF('Atos Serv. Jud. Lei. 6369'!$E$485&gt;0,"2703-7",IF('Atos Serv. Jud. Lei. 6369'!$E$487,"2704-5",IF('Atos Serv. Jud. Lei. 6369'!$E$489,"2705-2","")))))</f>
        <v/>
      </c>
      <c r="C287" s="376" t="str">
        <f>IF(B287="","","Distribuidores (Aviso TJ Nº 22/2013)")</f>
        <v/>
      </c>
      <c r="D287" s="557" t="str">
        <f>IF(B287="","",ABS(O287))</f>
        <v/>
      </c>
      <c r="E287" s="557"/>
      <c r="F287" s="557"/>
      <c r="G287" s="557"/>
      <c r="H287" s="558" t="str">
        <f>IF(B287="","",IF(O287=0,"",IF(M287&gt;L287,"A Recolher","A Maior")))</f>
        <v/>
      </c>
      <c r="I287" s="558"/>
      <c r="J287" s="558"/>
      <c r="K287" s="420"/>
      <c r="L287" s="230">
        <f>IF(B287="",0,ROUNDDOWN(GRERJFINAL!$D$61/P269,2))</f>
        <v>0</v>
      </c>
      <c r="M287" s="230">
        <f t="shared" si="36"/>
        <v>0</v>
      </c>
      <c r="N287" s="226">
        <f ca="1">GRERJFINAL!$F$61/P269</f>
        <v>0</v>
      </c>
      <c r="O287" s="232">
        <f t="shared" si="37"/>
        <v>0</v>
      </c>
      <c r="Q287" s="213">
        <f t="shared" si="38"/>
        <v>0</v>
      </c>
    </row>
    <row r="288" spans="1:19" ht="15" x14ac:dyDescent="0.2">
      <c r="B288" s="375" t="str">
        <f>S288</f>
        <v/>
      </c>
      <c r="C288" s="374" t="str">
        <f>IF(B288="","",IF(D288="ERRO","Mais de um distribuidor marcado","Atos dos Distribuidores"))</f>
        <v/>
      </c>
      <c r="D288" s="565">
        <f>IF(GRERJFINAL!F294="ERRO","ERRO",IF(B288="",0,ABS(O288)))</f>
        <v>0</v>
      </c>
      <c r="E288" s="565"/>
      <c r="F288" s="565"/>
      <c r="G288" s="565"/>
      <c r="H288" s="566" t="str">
        <f>IF(D288="ERRO","ERRO",IF(B288="","",IF(O288=0,"",IF(M288&gt;L288,"A Recolher","A Maior"))))</f>
        <v/>
      </c>
      <c r="I288" s="566"/>
      <c r="J288" s="566"/>
      <c r="K288" s="420"/>
      <c r="L288" s="230">
        <f>IF(B288="",0,ROUNDDOWN(GRERJFINAL!$D$63/P269,2))</f>
        <v>0</v>
      </c>
      <c r="M288" s="230">
        <f t="shared" si="36"/>
        <v>0</v>
      </c>
      <c r="N288" s="226">
        <f ca="1">GRERJFINAL!$F$63/P269</f>
        <v>0</v>
      </c>
      <c r="O288" s="232">
        <f t="shared" si="37"/>
        <v>0</v>
      </c>
      <c r="Q288" s="213">
        <f t="shared" si="38"/>
        <v>0</v>
      </c>
      <c r="S288" s="212" t="str">
        <f>IF('Atos Serv. Jud. Lei. 6369'!$E$505&gt;0,"2102-2",IF('Atos Serv. Jud. Lei. 6369'!$E$507&gt;0,"3071-0024739-1",IF('Atos Serv. Jud. Lei. 6369'!$E$509&gt;0,"0065-0210279-0",IF('Atos Serv. Jud. Lei. 6369'!$E$511,"0445-0137200-9",IF('Atos Serv. Jud. Lei. 6369'!$E$513&gt;0,"1669-0012095-2","")))))</f>
        <v/>
      </c>
    </row>
    <row r="289" spans="1:21" ht="15" x14ac:dyDescent="0.2">
      <c r="B289" s="375" t="str">
        <f>IF('Atos Serv. Jud. Lei. 6369'!$E$505&gt;0,"2701-1",IF('Atos Serv. Jud. Lei. 6369'!$E$507&gt;0,"2702-9",IF('Atos Serv. Jud. Lei. 6369'!$E$509&gt;0,"2703-7",IF('Atos Serv. Jud. Lei. 6369'!$E$511,"2704-5",IF('Atos Serv. Jud. Lei. 6369'!$E$513,"2705-2","")))))</f>
        <v/>
      </c>
      <c r="C289" s="374" t="str">
        <f>IF(B289="","","Distribuidores (Aviso TJ Nº 22/2013)")</f>
        <v/>
      </c>
      <c r="D289" s="557" t="str">
        <f>IF(B289="","",ABS(O289))</f>
        <v/>
      </c>
      <c r="E289" s="557"/>
      <c r="F289" s="557"/>
      <c r="G289" s="557"/>
      <c r="H289" s="558" t="str">
        <f>IF(B289="","",IF(O289=0,"",IF(M289&gt;L289,"A Recolher","A Maior")))</f>
        <v/>
      </c>
      <c r="I289" s="558"/>
      <c r="J289" s="558"/>
      <c r="K289" s="420"/>
      <c r="L289" s="230">
        <f>IF(B289="",0,ROUNDDOWN(GRERJFINAL!$D$65/P269,2))</f>
        <v>0</v>
      </c>
      <c r="M289" s="230">
        <f t="shared" si="36"/>
        <v>0</v>
      </c>
      <c r="N289" s="226">
        <f ca="1">GRERJFINAL!$F$65/P269</f>
        <v>0</v>
      </c>
      <c r="O289" s="232">
        <f t="shared" si="37"/>
        <v>0</v>
      </c>
      <c r="Q289" s="213">
        <f t="shared" si="38"/>
        <v>0</v>
      </c>
    </row>
    <row r="290" spans="1:21" ht="12.75" customHeight="1" x14ac:dyDescent="0.2">
      <c r="B290" s="375" t="str">
        <f>S290</f>
        <v/>
      </c>
      <c r="C290" s="374" t="str">
        <f>IF(B290="","",IF(D290="ERRO","Mais de um distribuidor marcado","Atos dos Distribuidores"))</f>
        <v/>
      </c>
      <c r="D290" s="565">
        <f>IF(GRERJFINAL!F298="ERRO","ERRO",IF(B290="",0,ABS(O290)))</f>
        <v>0</v>
      </c>
      <c r="E290" s="565"/>
      <c r="F290" s="565"/>
      <c r="G290" s="565"/>
      <c r="H290" s="566" t="str">
        <f>IF(D290="ERRO","ERRO",IF(B290="","",IF(O290=0,"",IF(M290&gt;L290,"A Recolher","A Maior"))))</f>
        <v/>
      </c>
      <c r="I290" s="566"/>
      <c r="J290" s="566"/>
      <c r="K290" s="420"/>
      <c r="L290" s="230">
        <f>IF(B290="",0,ROUNDDOWN(GRERJFINAL!$D$67/P269,2))</f>
        <v>0</v>
      </c>
      <c r="M290" s="230">
        <f t="shared" si="36"/>
        <v>0</v>
      </c>
      <c r="N290" s="226">
        <f ca="1">GRERJFINAL!$F$67/P269</f>
        <v>0</v>
      </c>
      <c r="O290" s="232">
        <f t="shared" si="37"/>
        <v>0</v>
      </c>
      <c r="Q290" s="213">
        <f t="shared" si="38"/>
        <v>0</v>
      </c>
      <c r="S290" s="212" t="str">
        <f>IF('Atos Serv. Jud. Lei. 6369'!$E$529&gt;0,"2102-2",IF('Atos Serv. Jud. Lei. 6369'!$E$531&gt;0,"3071-0024739-1",IF('Atos Serv. Jud. Lei. 6369'!$E$533&gt;0,"0065-0210279-0",IF('Atos Serv. Jud. Lei. 6369'!$E$535,"0445-0137200-9",IF('Atos Serv. Jud. Lei. 6369'!$E$537&gt;0,"1669-0012095-2","")))))</f>
        <v/>
      </c>
    </row>
    <row r="291" spans="1:21" ht="15" x14ac:dyDescent="0.2">
      <c r="B291" s="375" t="str">
        <f>IF('Atos Serv. Jud. Lei. 6369'!$E$529&gt;0,"2701-1",IF('Atos Serv. Jud. Lei. 6369'!$E$531&gt;0,"2702-9",IF('Atos Serv. Jud. Lei. 6369'!$E$533&gt;0,"2703-7",IF('Atos Serv. Jud. Lei. 6369'!$E$535,"2704-5",IF('Atos Serv. Jud. Lei. 6369'!$E$537,"2705-2","")))))</f>
        <v/>
      </c>
      <c r="C291" s="374" t="str">
        <f>IF(B291="","","Distribuidores (Aviso TJ Nº 22/2013)")</f>
        <v/>
      </c>
      <c r="D291" s="557" t="str">
        <f>IF(B291="","",ABS(O291))</f>
        <v/>
      </c>
      <c r="E291" s="557"/>
      <c r="F291" s="557"/>
      <c r="G291" s="557"/>
      <c r="H291" s="558" t="str">
        <f>IF(B291="","",IF(O291=0,"",IF(M291&gt;L291,"A Recolher","A Maior")))</f>
        <v/>
      </c>
      <c r="I291" s="558"/>
      <c r="J291" s="558"/>
      <c r="K291" s="420"/>
      <c r="L291" s="230">
        <f>IF(B291="",0,ROUNDDOWN(GRERJFINAL!$D$69/P269,2))</f>
        <v>0</v>
      </c>
      <c r="M291" s="230">
        <f t="shared" si="36"/>
        <v>0</v>
      </c>
      <c r="N291" s="226">
        <f ca="1">GRERJFINAL!$F$69/P269</f>
        <v>0</v>
      </c>
      <c r="O291" s="232">
        <f t="shared" si="37"/>
        <v>0</v>
      </c>
      <c r="Q291" s="213">
        <f t="shared" si="38"/>
        <v>0</v>
      </c>
    </row>
    <row r="292" spans="1:21" ht="12.75" customHeight="1" x14ac:dyDescent="0.2">
      <c r="B292" s="386" t="str">
        <f ca="1">IF(D292=0,"","2111-1")</f>
        <v/>
      </c>
      <c r="C292" s="376" t="str">
        <f ca="1">IF(D292=0,"","Multa para Litigância de Má-Fé")</f>
        <v/>
      </c>
      <c r="D292" s="565">
        <f ca="1">ABS(O292)</f>
        <v>0</v>
      </c>
      <c r="E292" s="565"/>
      <c r="F292" s="565"/>
      <c r="G292" s="565"/>
      <c r="H292" s="566" t="str">
        <f ca="1">IF(O292=0,"",IF(M292&gt;L292,"A Recolher","A Maior"))</f>
        <v/>
      </c>
      <c r="I292" s="566"/>
      <c r="J292" s="566"/>
      <c r="K292" s="420"/>
      <c r="L292" s="230">
        <f>ROUNDDOWN(GRERJFINAL!$D$71/P269,2)</f>
        <v>0</v>
      </c>
      <c r="M292" s="230">
        <f ca="1">ROUNDDOWN(N292,2)</f>
        <v>0</v>
      </c>
      <c r="N292" s="226">
        <f ca="1">GRERJFINAL!$F$71/P269</f>
        <v>0</v>
      </c>
      <c r="O292" s="232">
        <f t="shared" ca="1" si="37"/>
        <v>0</v>
      </c>
      <c r="Q292" s="213">
        <f t="shared" ca="1" si="38"/>
        <v>0</v>
      </c>
    </row>
    <row r="293" spans="1:21" ht="12.75" customHeight="1" x14ac:dyDescent="0.2">
      <c r="B293" s="387" t="str">
        <f ca="1">IF(D293=0,"","2210-3")</f>
        <v/>
      </c>
      <c r="C293" s="388" t="str">
        <f ca="1">IF(D293=0,"","Reembolso de Auxílio Pericial")</f>
        <v/>
      </c>
      <c r="D293" s="597">
        <f ca="1">ABS(O293)</f>
        <v>0</v>
      </c>
      <c r="E293" s="597"/>
      <c r="F293" s="597"/>
      <c r="G293" s="597"/>
      <c r="H293" s="604" t="str">
        <f ca="1">IF(O293=0,"",IF(M293&gt;L293,"A Recolher","A Maior"))</f>
        <v/>
      </c>
      <c r="I293" s="604"/>
      <c r="J293" s="604"/>
      <c r="K293" s="420"/>
      <c r="L293" s="230">
        <f>ROUNDDOWN(GRERJFINAL!$D$73/P269,2)</f>
        <v>0</v>
      </c>
      <c r="M293" s="230">
        <f ca="1">ROUNDDOWN(N293,2)</f>
        <v>0</v>
      </c>
      <c r="N293" s="226">
        <f ca="1">GRERJFINAL!$F$73/P269</f>
        <v>0</v>
      </c>
      <c r="O293" s="232">
        <f t="shared" ca="1" si="37"/>
        <v>0</v>
      </c>
      <c r="Q293" s="213">
        <f t="shared" ca="1" si="38"/>
        <v>0</v>
      </c>
    </row>
    <row r="294" spans="1:21" ht="15" x14ac:dyDescent="0.2">
      <c r="A294" s="358"/>
      <c r="B294" s="389" t="str">
        <f ca="1">IF(D294=0,"","2212-9")</f>
        <v/>
      </c>
      <c r="C294" s="392" t="str">
        <f ca="1">IF(D294=0,"","Diversos")</f>
        <v/>
      </c>
      <c r="D294" s="572">
        <f ca="1">ABS(O294)</f>
        <v>0</v>
      </c>
      <c r="E294" s="573"/>
      <c r="F294" s="573"/>
      <c r="G294" s="574"/>
      <c r="H294" s="598" t="str">
        <f ca="1">IF(O294=0,"",IF(M294&gt;L294,"A Recolher","A Maior"))</f>
        <v/>
      </c>
      <c r="I294" s="599"/>
      <c r="J294" s="600"/>
      <c r="K294" s="420"/>
      <c r="L294" s="230">
        <f>ROUNDDOWN(GRERJFINAL!$D$75/P269,2)</f>
        <v>0</v>
      </c>
      <c r="M294" s="230">
        <f ca="1">ROUNDDOWN(N294,2)</f>
        <v>0</v>
      </c>
      <c r="N294" s="226">
        <f ca="1">GRERJFINAL!$F$75/P269</f>
        <v>0</v>
      </c>
      <c r="O294" s="232">
        <f t="shared" ca="1" si="37"/>
        <v>0</v>
      </c>
      <c r="Q294" s="213">
        <f t="shared" ca="1" si="38"/>
        <v>0</v>
      </c>
      <c r="S294" s="359"/>
    </row>
    <row r="295" spans="1:21" ht="15.75" thickBot="1" x14ac:dyDescent="0.25">
      <c r="A295" s="359"/>
      <c r="B295" s="389" t="str">
        <f ca="1">IF(D295=0,"","6246-0088011-6")</f>
        <v/>
      </c>
      <c r="C295" s="360" t="str">
        <f ca="1">IF(D295=0,"","Mediação/Conciliação")</f>
        <v/>
      </c>
      <c r="D295" s="572">
        <f ca="1">ABS(O295)</f>
        <v>0</v>
      </c>
      <c r="E295" s="573"/>
      <c r="F295" s="573"/>
      <c r="G295" s="574"/>
      <c r="H295" s="598" t="str">
        <f ca="1">IF(O295=0,"",IF(M295&gt;L295,"A Recolher","A Maior"))</f>
        <v/>
      </c>
      <c r="I295" s="599"/>
      <c r="J295" s="600"/>
      <c r="K295" s="420"/>
      <c r="L295" s="230">
        <f>ROUNDDOWN(GRERJFINAL!$D$77/P269,2)</f>
        <v>0</v>
      </c>
      <c r="M295" s="230">
        <f ca="1">ROUNDDOWN(N295,2)</f>
        <v>0</v>
      </c>
      <c r="N295" s="226">
        <f ca="1">GRERJFINAL!$F$77/P269</f>
        <v>0</v>
      </c>
      <c r="O295" s="232">
        <f t="shared" ca="1" si="37"/>
        <v>0</v>
      </c>
      <c r="Q295" s="213">
        <f t="shared" ca="1" si="38"/>
        <v>0</v>
      </c>
      <c r="S295" s="359"/>
    </row>
    <row r="296" spans="1:21" ht="15.75" thickBot="1" x14ac:dyDescent="0.25">
      <c r="B296" s="390"/>
      <c r="C296" s="391" t="s">
        <v>366</v>
      </c>
      <c r="D296" s="592">
        <f ca="1">Q296</f>
        <v>0</v>
      </c>
      <c r="E296" s="592"/>
      <c r="F296" s="592"/>
      <c r="G296" s="592"/>
      <c r="H296" s="605"/>
      <c r="I296" s="606"/>
      <c r="J296" s="607"/>
      <c r="K296" s="2"/>
      <c r="L296" s="238"/>
      <c r="M296" s="238"/>
      <c r="N296" s="239"/>
      <c r="O296" s="240"/>
      <c r="Q296" s="213">
        <f ca="1">SUM(Q269:Q295)</f>
        <v>0</v>
      </c>
    </row>
    <row r="297" spans="1:21" ht="15" x14ac:dyDescent="0.2">
      <c r="B297" s="1"/>
      <c r="C297" s="1"/>
      <c r="D297" s="420"/>
      <c r="E297" s="420"/>
      <c r="F297" s="420"/>
      <c r="G297" s="420"/>
      <c r="H297" s="420"/>
      <c r="I297" s="420"/>
      <c r="J297" s="420"/>
      <c r="K297" s="420"/>
      <c r="L297" s="420"/>
      <c r="M297" s="420"/>
    </row>
    <row r="298" spans="1:21" ht="15" x14ac:dyDescent="0.2">
      <c r="B298" s="173" t="s">
        <v>367</v>
      </c>
      <c r="C298" s="216" t="s">
        <v>368</v>
      </c>
      <c r="D298" s="581"/>
      <c r="E298" s="581"/>
      <c r="F298" s="581"/>
      <c r="G298" s="581"/>
      <c r="H298" s="581"/>
      <c r="I298" s="581"/>
      <c r="J298" s="581"/>
      <c r="K298" s="581"/>
    </row>
    <row r="299" spans="1:21" ht="15" x14ac:dyDescent="0.2"/>
    <row r="300" spans="1:21" ht="36.6" customHeight="1" x14ac:dyDescent="0.2">
      <c r="B300" s="241" t="s">
        <v>299</v>
      </c>
      <c r="C300" s="242" t="s">
        <v>300</v>
      </c>
      <c r="D300" s="582" t="s">
        <v>359</v>
      </c>
      <c r="E300" s="582"/>
      <c r="F300" s="582"/>
      <c r="G300" s="582"/>
      <c r="H300" s="583" t="s">
        <v>360</v>
      </c>
      <c r="I300" s="583"/>
      <c r="J300" s="583"/>
      <c r="K300" s="229"/>
      <c r="L300" s="229" t="s">
        <v>361</v>
      </c>
      <c r="M300" s="229" t="s">
        <v>362</v>
      </c>
    </row>
    <row r="301" spans="1:21" ht="15" x14ac:dyDescent="0.2">
      <c r="B301" s="380" t="s">
        <v>337</v>
      </c>
      <c r="C301" s="381" t="s">
        <v>338</v>
      </c>
      <c r="D301" s="584">
        <f ca="1">ABS(O301)</f>
        <v>0</v>
      </c>
      <c r="E301" s="584"/>
      <c r="F301" s="584"/>
      <c r="G301" s="584"/>
      <c r="H301" s="569" t="str">
        <f ca="1">IF(O301=0,"",IF(M301&gt;L301,"A Recolher","A Maior"))</f>
        <v/>
      </c>
      <c r="I301" s="569"/>
      <c r="J301" s="569"/>
      <c r="K301" s="420"/>
      <c r="L301" s="230">
        <f>ROUNDDOWN(GRERJFINAL!$D$82/P269,2)</f>
        <v>0</v>
      </c>
      <c r="M301" s="230">
        <f ca="1">ROUNDDOWN(N301,2)</f>
        <v>0</v>
      </c>
      <c r="N301" s="239">
        <f ca="1">GRERJFINAL!$F$82/P269</f>
        <v>0</v>
      </c>
      <c r="O301" s="243">
        <f ca="1">ROUNDDOWN(L301-M301,2)</f>
        <v>0</v>
      </c>
      <c r="Q301" s="213">
        <f ca="1">IF(H301="A Recolher",D301,0)</f>
        <v>0</v>
      </c>
    </row>
    <row r="302" spans="1:21" ht="12.75" customHeight="1" x14ac:dyDescent="0.2">
      <c r="B302" s="381" t="s">
        <v>307</v>
      </c>
      <c r="C302" s="381" t="s">
        <v>308</v>
      </c>
      <c r="D302" s="578">
        <f ca="1">ABS(O302)</f>
        <v>0</v>
      </c>
      <c r="E302" s="578"/>
      <c r="F302" s="578"/>
      <c r="G302" s="578"/>
      <c r="H302" s="558" t="str">
        <f ca="1">IF(O302=0,"",IF(M302&gt;L302,"A Recolher","A Maior"))</f>
        <v/>
      </c>
      <c r="I302" s="558"/>
      <c r="J302" s="558"/>
      <c r="K302" s="420"/>
      <c r="L302" s="230">
        <f>ROUNDDOWN(GRERJFINAL!$D$84/P269,2)</f>
        <v>0</v>
      </c>
      <c r="M302" s="230">
        <f ca="1">ROUNDDOWN(N302,2)</f>
        <v>0</v>
      </c>
      <c r="N302" s="239">
        <f ca="1">GRERJFINAL!$F$84/P269</f>
        <v>0</v>
      </c>
      <c r="O302" s="243">
        <f ca="1">ROUNDDOWN(L302-M302,2)</f>
        <v>0</v>
      </c>
      <c r="Q302" s="213">
        <f ca="1">IF(H302="A Recolher",D302,0)</f>
        <v>0</v>
      </c>
    </row>
    <row r="303" spans="1:21" ht="15" x14ac:dyDescent="0.2">
      <c r="B303" s="382" t="s">
        <v>317</v>
      </c>
      <c r="C303" s="382" t="s">
        <v>318</v>
      </c>
      <c r="D303" s="578">
        <f ca="1">Q303</f>
        <v>0</v>
      </c>
      <c r="E303" s="578"/>
      <c r="F303" s="578"/>
      <c r="G303" s="578"/>
      <c r="H303" s="558" t="str">
        <f ca="1">IF(D303=0,"",IF(D303="","","A Recolher"))</f>
        <v/>
      </c>
      <c r="I303" s="558"/>
      <c r="J303" s="558"/>
      <c r="K303" s="420"/>
      <c r="L303" s="230"/>
      <c r="M303" s="230"/>
      <c r="N303" s="239"/>
      <c r="O303" s="243"/>
      <c r="Q303" s="213">
        <f ca="1">ROUNDDOWN(SUM(Q301:Q302)*0.1,2)</f>
        <v>0</v>
      </c>
      <c r="T303" s="246"/>
      <c r="U303" s="246"/>
    </row>
    <row r="304" spans="1:21" ht="15" x14ac:dyDescent="0.2">
      <c r="B304" s="382" t="s">
        <v>364</v>
      </c>
      <c r="C304" s="382" t="s">
        <v>326</v>
      </c>
      <c r="D304" s="578">
        <f ca="1">Q304</f>
        <v>0</v>
      </c>
      <c r="E304" s="578"/>
      <c r="F304" s="578"/>
      <c r="G304" s="578"/>
      <c r="H304" s="558" t="str">
        <f ca="1">IF(D304=0,"",IF(D304="","","A Recolher"))</f>
        <v/>
      </c>
      <c r="I304" s="558"/>
      <c r="J304" s="558"/>
      <c r="K304" s="420"/>
      <c r="L304" s="230"/>
      <c r="M304" s="230"/>
      <c r="N304" s="239"/>
      <c r="O304" s="243"/>
      <c r="Q304" s="213">
        <f ca="1">ROUNDDOWN(SUM(Q301:Q302)*0.05,2)</f>
        <v>0</v>
      </c>
      <c r="T304" s="246"/>
    </row>
    <row r="305" spans="1:19" ht="15" x14ac:dyDescent="0.2">
      <c r="B305" s="363" t="s">
        <v>365</v>
      </c>
      <c r="C305" s="383" t="s">
        <v>328</v>
      </c>
      <c r="D305" s="586">
        <f ca="1">D304</f>
        <v>0</v>
      </c>
      <c r="E305" s="586"/>
      <c r="F305" s="586"/>
      <c r="G305" s="586"/>
      <c r="H305" s="558" t="str">
        <f ca="1">IF(D305=0,"",IF(D305="","","A Recolher"))</f>
        <v/>
      </c>
      <c r="I305" s="558"/>
      <c r="J305" s="558"/>
      <c r="K305" s="420"/>
      <c r="L305" s="230"/>
      <c r="M305" s="230"/>
      <c r="N305" s="239"/>
      <c r="O305" s="243"/>
      <c r="Q305" s="213">
        <f ca="1">IF(H305="A Recolher",D305,0)</f>
        <v>0</v>
      </c>
    </row>
    <row r="306" spans="1:19" ht="15.75" thickBot="1" x14ac:dyDescent="0.25">
      <c r="B306" s="236"/>
      <c r="C306" s="244" t="s">
        <v>366</v>
      </c>
      <c r="D306" s="594">
        <f ca="1">Q306</f>
        <v>0</v>
      </c>
      <c r="E306" s="594"/>
      <c r="F306" s="594"/>
      <c r="G306" s="594"/>
      <c r="H306" s="595"/>
      <c r="I306" s="595"/>
      <c r="J306" s="595"/>
      <c r="K306" s="230"/>
      <c r="L306" s="420"/>
      <c r="M306" s="420"/>
      <c r="N306" s="239"/>
      <c r="O306" s="240"/>
      <c r="Q306" s="213">
        <f ca="1">SUM(Q301:Q305)</f>
        <v>0</v>
      </c>
    </row>
    <row r="307" spans="1:19" ht="5.25" customHeight="1" x14ac:dyDescent="0.2">
      <c r="B307" s="4"/>
      <c r="C307" s="498"/>
      <c r="D307" s="230"/>
      <c r="E307" s="230"/>
      <c r="F307" s="230"/>
      <c r="G307" s="230"/>
      <c r="H307" s="230"/>
      <c r="I307" s="230"/>
      <c r="J307" s="230"/>
      <c r="K307" s="230"/>
      <c r="L307" s="497"/>
      <c r="M307" s="497"/>
      <c r="N307" s="239"/>
      <c r="O307" s="240"/>
    </row>
    <row r="308" spans="1:19" ht="15" x14ac:dyDescent="0.2">
      <c r="B308" s="245" t="s">
        <v>369</v>
      </c>
      <c r="C308" s="589">
        <f ca="1">TODAY()</f>
        <v>43209</v>
      </c>
      <c r="D308" s="589"/>
      <c r="E308" s="589"/>
      <c r="F308" s="589"/>
      <c r="G308" s="589"/>
      <c r="H308" s="589"/>
      <c r="I308" s="589"/>
      <c r="J308" s="589"/>
      <c r="K308" s="246"/>
      <c r="L308" s="246"/>
      <c r="M308" s="246"/>
      <c r="N308" s="246"/>
      <c r="O308" s="246"/>
      <c r="P308" s="246"/>
      <c r="Q308" s="238"/>
      <c r="R308" s="246"/>
      <c r="S308" s="246"/>
    </row>
    <row r="309" spans="1:19" ht="15" x14ac:dyDescent="0.2">
      <c r="B309" s="245"/>
      <c r="C309" s="245"/>
      <c r="D309" s="421"/>
      <c r="E309" s="421"/>
      <c r="F309" s="421"/>
      <c r="G309" s="421"/>
      <c r="H309" s="421"/>
      <c r="I309" s="421"/>
      <c r="J309" s="421"/>
      <c r="K309" s="421"/>
      <c r="L309" s="246"/>
      <c r="M309" s="246"/>
      <c r="N309" s="246"/>
      <c r="O309" s="246"/>
      <c r="P309" s="246"/>
      <c r="Q309" s="238"/>
      <c r="R309" s="246"/>
      <c r="S309" s="246"/>
    </row>
    <row r="310" spans="1:19" ht="15" x14ac:dyDescent="0.2">
      <c r="B310" s="245"/>
      <c r="D310" s="421"/>
      <c r="E310" s="421"/>
      <c r="F310" s="421"/>
      <c r="G310" s="421"/>
      <c r="H310" s="421"/>
      <c r="I310" s="421"/>
      <c r="J310" s="421"/>
      <c r="K310" s="421"/>
      <c r="L310" s="421"/>
      <c r="M310" s="421"/>
    </row>
    <row r="311" spans="1:19" ht="15" x14ac:dyDescent="0.2">
      <c r="A311" s="585" t="str">
        <f>IF('Atos Serv. Jud. Lei. 6369'!$H$9="","NOME",('Atos Serv. Jud. Lei. 6369'!$H$9))</f>
        <v>NOME</v>
      </c>
      <c r="B311" s="585"/>
      <c r="C311" s="585"/>
      <c r="D311" s="585"/>
      <c r="E311" s="585"/>
      <c r="F311" s="585"/>
      <c r="G311" s="585"/>
      <c r="H311" s="585"/>
      <c r="I311" s="585"/>
      <c r="J311" s="585"/>
      <c r="K311" s="585"/>
      <c r="L311" s="420"/>
      <c r="M311" s="420"/>
    </row>
    <row r="312" spans="1:19" ht="15" x14ac:dyDescent="0.2">
      <c r="A312" s="585" t="str">
        <f>IF('Atos Serv. Jud. Lei. 6369'!$H$11="","MATRÍCULA",'Atos Serv. Jud. Lei. 6369'!$H$11)</f>
        <v>MATRÍCULA</v>
      </c>
      <c r="B312" s="585"/>
      <c r="C312" s="585"/>
      <c r="D312" s="585"/>
      <c r="E312" s="585"/>
      <c r="F312" s="585"/>
      <c r="G312" s="585"/>
      <c r="H312" s="585"/>
      <c r="I312" s="585"/>
      <c r="J312" s="585"/>
      <c r="K312" s="585"/>
      <c r="L312" s="485"/>
      <c r="M312" s="485"/>
    </row>
    <row r="313" spans="1:19" ht="15" x14ac:dyDescent="0.2">
      <c r="A313" s="485"/>
      <c r="B313" s="485"/>
      <c r="C313" s="485"/>
      <c r="D313" s="485"/>
      <c r="E313" s="485"/>
      <c r="F313" s="485"/>
      <c r="G313" s="485"/>
      <c r="H313" s="485"/>
      <c r="I313" s="485"/>
      <c r="J313" s="485"/>
      <c r="K313" s="485"/>
      <c r="L313" s="485"/>
      <c r="M313" s="485"/>
    </row>
    <row r="314" spans="1:19" ht="12.75" customHeight="1" x14ac:dyDescent="0.2">
      <c r="A314" s="596"/>
      <c r="B314" s="596"/>
      <c r="C314" s="596"/>
      <c r="D314" s="596"/>
      <c r="E314" s="596"/>
      <c r="F314" s="596"/>
      <c r="G314" s="596"/>
      <c r="H314" s="596"/>
      <c r="I314" s="596"/>
      <c r="J314" s="596"/>
      <c r="K314" s="596"/>
      <c r="L314" s="596"/>
      <c r="M314" s="596"/>
      <c r="N314" s="596"/>
      <c r="O314" s="596"/>
      <c r="P314" s="596"/>
      <c r="Q314" s="596"/>
      <c r="R314" s="596"/>
    </row>
    <row r="315" spans="1:19" ht="12.75" customHeight="1" x14ac:dyDescent="0.2">
      <c r="A315" s="490"/>
      <c r="B315" s="99" t="s">
        <v>349</v>
      </c>
      <c r="C315" s="490"/>
      <c r="D315" s="490"/>
      <c r="E315" s="490"/>
      <c r="F315" s="490"/>
      <c r="G315" s="490"/>
      <c r="H315" s="490"/>
      <c r="I315" s="490"/>
      <c r="J315" s="490"/>
      <c r="K315" s="490"/>
      <c r="L315" s="490"/>
      <c r="M315" s="490"/>
      <c r="N315" s="490"/>
      <c r="O315" s="490"/>
      <c r="P315" s="490"/>
      <c r="Q315" s="490"/>
      <c r="R315" s="490"/>
    </row>
    <row r="316" spans="1:19" ht="10.5" customHeight="1" x14ac:dyDescent="0.2">
      <c r="B316" s="173" t="s">
        <v>350</v>
      </c>
      <c r="R316" s="214"/>
    </row>
    <row r="317" spans="1:19" ht="10.5" customHeight="1" x14ac:dyDescent="0.2">
      <c r="B317" s="173" t="s">
        <v>351</v>
      </c>
      <c r="R317" s="214"/>
    </row>
    <row r="318" spans="1:19" ht="10.5" customHeight="1" x14ac:dyDescent="0.2">
      <c r="B318" s="173" t="s">
        <v>352</v>
      </c>
      <c r="R318" s="214"/>
    </row>
    <row r="319" spans="1:19" ht="10.5" customHeight="1" x14ac:dyDescent="0.2">
      <c r="B319" s="173" t="s">
        <v>353</v>
      </c>
      <c r="R319" s="214"/>
    </row>
    <row r="320" spans="1:19" s="173" customFormat="1" ht="11.25" customHeight="1" x14ac:dyDescent="0.2">
      <c r="B320" s="173" t="s">
        <v>354</v>
      </c>
      <c r="Q320" s="215"/>
    </row>
    <row r="321" spans="1:17" ht="11.25" customHeight="1" x14ac:dyDescent="0.2">
      <c r="B321" s="173" t="s">
        <v>355</v>
      </c>
    </row>
    <row r="322" spans="1:17" ht="6" customHeight="1" x14ac:dyDescent="0.2">
      <c r="J322" s="214"/>
      <c r="K322" s="214"/>
    </row>
    <row r="323" spans="1:17" ht="15" x14ac:dyDescent="0.2">
      <c r="A323" s="216" t="s">
        <v>356</v>
      </c>
      <c r="B323" s="217" t="str">
        <f>IF('Atos Serv. Jud. Lei. 6369'!$H$7=0,"",'Atos Serv. Jud. Lei. 6369'!$H$7)</f>
        <v/>
      </c>
      <c r="E323" s="218"/>
      <c r="F323" s="218"/>
      <c r="G323" s="218"/>
      <c r="H323" s="218"/>
      <c r="I323" s="218"/>
      <c r="J323" s="218"/>
      <c r="K323" s="218"/>
      <c r="L323" s="218"/>
    </row>
    <row r="324" spans="1:17" ht="6" customHeight="1" x14ac:dyDescent="0.2">
      <c r="A324" s="216"/>
      <c r="B324" s="219"/>
      <c r="C324" s="220"/>
      <c r="D324" s="220"/>
      <c r="E324" s="220"/>
      <c r="F324" s="221"/>
      <c r="G324" s="220"/>
      <c r="H324" s="221"/>
      <c r="I324" s="220"/>
      <c r="J324" s="218"/>
      <c r="K324" s="218"/>
    </row>
    <row r="325" spans="1:17" ht="18" x14ac:dyDescent="0.25">
      <c r="A325" s="559" t="s">
        <v>357</v>
      </c>
      <c r="B325" s="559"/>
      <c r="C325" s="559"/>
      <c r="D325" s="559"/>
      <c r="E325" s="559"/>
      <c r="F325" s="559"/>
      <c r="G325" s="559"/>
      <c r="H325" s="559"/>
      <c r="I325" s="559"/>
      <c r="J325" s="559"/>
      <c r="K325" s="559"/>
      <c r="L325" s="419"/>
      <c r="M325" s="222"/>
      <c r="N325" s="222"/>
      <c r="O325" s="222"/>
      <c r="P325" s="222"/>
    </row>
    <row r="327" spans="1:17" ht="15" x14ac:dyDescent="0.2">
      <c r="B327" s="223" t="s">
        <v>358</v>
      </c>
      <c r="C327" s="223"/>
      <c r="E327" s="223"/>
      <c r="F327" s="223"/>
      <c r="H327" s="224"/>
      <c r="I327" s="224"/>
      <c r="J327" s="224"/>
      <c r="K327" s="224"/>
      <c r="L327" s="224"/>
    </row>
    <row r="328" spans="1:17" ht="15.75" x14ac:dyDescent="0.25">
      <c r="A328" s="216"/>
      <c r="B328" s="247">
        <f>GRERJFINAL!C19</f>
        <v>0</v>
      </c>
      <c r="C328" s="216"/>
      <c r="D328" s="218"/>
      <c r="E328" s="223"/>
      <c r="F328" s="223"/>
      <c r="H328" s="224"/>
      <c r="I328" s="224"/>
      <c r="J328" s="224"/>
      <c r="K328" s="224"/>
      <c r="L328" s="224"/>
    </row>
    <row r="329" spans="1:17" ht="15" x14ac:dyDescent="0.2">
      <c r="B329" s="560" t="str">
        <f>IF(GRERJFINAL!$P$9&lt;2,"","Valores corrigidos na proporção de")</f>
        <v/>
      </c>
      <c r="C329" s="560"/>
      <c r="D329" s="226" t="str">
        <f>IF(GRERJFINAL!$P$9&lt;2,"",IF(GRERJFINAL!G19="",O329,GRERJFINAL!G19))</f>
        <v/>
      </c>
      <c r="E329" s="212" t="str">
        <f>IF(GRERJFINAL!$P$9&lt;2,"","%")</f>
        <v/>
      </c>
      <c r="N329" s="213"/>
      <c r="O329" s="216" t="e">
        <f>IF(GRERJFINAL!G19="",ROUND(100/GRERJFINAL!$P$9,2),GRERJFINAL!G19)</f>
        <v>#DIV/0!</v>
      </c>
    </row>
    <row r="330" spans="1:17" ht="6" customHeight="1" thickBot="1" x14ac:dyDescent="0.25"/>
    <row r="331" spans="1:17" ht="36.75" customHeight="1" thickBot="1" x14ac:dyDescent="0.25">
      <c r="B331" s="227" t="s">
        <v>299</v>
      </c>
      <c r="C331" s="228" t="s">
        <v>300</v>
      </c>
      <c r="D331" s="561" t="s">
        <v>359</v>
      </c>
      <c r="E331" s="561"/>
      <c r="F331" s="561"/>
      <c r="G331" s="561"/>
      <c r="H331" s="562" t="s">
        <v>360</v>
      </c>
      <c r="I331" s="562"/>
      <c r="J331" s="562"/>
      <c r="K331" s="229"/>
      <c r="L331" s="229" t="s">
        <v>361</v>
      </c>
      <c r="M331" s="229" t="s">
        <v>362</v>
      </c>
      <c r="N331" s="214"/>
    </row>
    <row r="332" spans="1:17" ht="15" x14ac:dyDescent="0.2">
      <c r="B332" s="361" t="s">
        <v>304</v>
      </c>
      <c r="C332" s="362" t="s">
        <v>363</v>
      </c>
      <c r="D332" s="563">
        <f t="shared" ref="D332:D337" ca="1" si="39">ABS(O332)</f>
        <v>0</v>
      </c>
      <c r="E332" s="563"/>
      <c r="F332" s="563"/>
      <c r="G332" s="563"/>
      <c r="H332" s="564" t="str">
        <f t="shared" ref="H332:H337" ca="1" si="40">IF(O332=0,"",IF(M332&gt;L332,"A Recolher","A Maior"))</f>
        <v/>
      </c>
      <c r="I332" s="564"/>
      <c r="J332" s="564"/>
      <c r="K332" s="420"/>
      <c r="L332" s="230">
        <f>ROUNDDOWN(GRERJFINAL!$D$24/P332,2)</f>
        <v>0</v>
      </c>
      <c r="M332" s="230">
        <f t="shared" ref="M332:M337" ca="1" si="41">ROUNDDOWN(N332,2)</f>
        <v>0</v>
      </c>
      <c r="N332" s="231">
        <f ca="1">GRERJFINAL!$F$24/P332</f>
        <v>0</v>
      </c>
      <c r="O332" s="232">
        <f t="shared" ref="O332:O339" ca="1" si="42">ROUNDDOWN(L332-M332,2)</f>
        <v>0</v>
      </c>
      <c r="P332" s="212">
        <f>IF(GRERJFINAL!C19="",10000000000,IF(GRERJFINAL!G19="",GRERJFINAL!$P$9,100/GRERJFINAL!G19))</f>
        <v>10000000000</v>
      </c>
      <c r="Q332" s="213">
        <f t="shared" ref="Q332:Q339" ca="1" si="43">IF(H332="A Recolher",D332,0)</f>
        <v>0</v>
      </c>
    </row>
    <row r="333" spans="1:17" ht="15" x14ac:dyDescent="0.2">
      <c r="B333" s="363" t="s">
        <v>307</v>
      </c>
      <c r="C333" s="364" t="s">
        <v>308</v>
      </c>
      <c r="D333" s="557">
        <f t="shared" ca="1" si="39"/>
        <v>0</v>
      </c>
      <c r="E333" s="557"/>
      <c r="F333" s="557"/>
      <c r="G333" s="557"/>
      <c r="H333" s="558" t="str">
        <f t="shared" ca="1" si="40"/>
        <v/>
      </c>
      <c r="I333" s="558"/>
      <c r="J333" s="558"/>
      <c r="K333" s="420"/>
      <c r="L333" s="230">
        <f>ROUNDDOWN(GRERJFINAL!$D$26/P332,2)</f>
        <v>0</v>
      </c>
      <c r="M333" s="230">
        <f t="shared" ca="1" si="41"/>
        <v>0</v>
      </c>
      <c r="N333" s="233">
        <f ca="1">GRERJFINAL!$F$26/P332</f>
        <v>0</v>
      </c>
      <c r="O333" s="232">
        <f t="shared" ca="1" si="42"/>
        <v>0</v>
      </c>
      <c r="Q333" s="213">
        <f t="shared" ca="1" si="43"/>
        <v>0</v>
      </c>
    </row>
    <row r="334" spans="1:17" ht="15" x14ac:dyDescent="0.2">
      <c r="B334" s="363" t="s">
        <v>309</v>
      </c>
      <c r="C334" s="364" t="s">
        <v>310</v>
      </c>
      <c r="D334" s="557">
        <f t="shared" ca="1" si="39"/>
        <v>0</v>
      </c>
      <c r="E334" s="557"/>
      <c r="F334" s="557"/>
      <c r="G334" s="557"/>
      <c r="H334" s="558" t="str">
        <f t="shared" ca="1" si="40"/>
        <v/>
      </c>
      <c r="I334" s="558"/>
      <c r="J334" s="558"/>
      <c r="K334" s="420"/>
      <c r="L334" s="230">
        <f>ROUNDDOWN(GRERJFINAL!$D$28/P332,2)</f>
        <v>0</v>
      </c>
      <c r="M334" s="230">
        <f t="shared" ca="1" si="41"/>
        <v>0</v>
      </c>
      <c r="N334" s="231">
        <f ca="1">GRERJFINAL!$F$28/P332</f>
        <v>0</v>
      </c>
      <c r="O334" s="232">
        <f t="shared" ca="1" si="42"/>
        <v>0</v>
      </c>
      <c r="Q334" s="213">
        <f t="shared" ca="1" si="43"/>
        <v>0</v>
      </c>
    </row>
    <row r="335" spans="1:17" ht="15" x14ac:dyDescent="0.2">
      <c r="B335" s="363" t="s">
        <v>311</v>
      </c>
      <c r="C335" s="364" t="s">
        <v>312</v>
      </c>
      <c r="D335" s="557">
        <f t="shared" ca="1" si="39"/>
        <v>0</v>
      </c>
      <c r="E335" s="557"/>
      <c r="F335" s="557"/>
      <c r="G335" s="557"/>
      <c r="H335" s="558" t="str">
        <f t="shared" ca="1" si="40"/>
        <v/>
      </c>
      <c r="I335" s="558"/>
      <c r="J335" s="558"/>
      <c r="K335" s="420"/>
      <c r="L335" s="230">
        <f>ROUNDDOWN(GRERJFINAL!$D$30/P332,2)</f>
        <v>0</v>
      </c>
      <c r="M335" s="230">
        <f t="shared" ca="1" si="41"/>
        <v>0</v>
      </c>
      <c r="N335" s="233">
        <f ca="1">GRERJFINAL!$F$30/P332</f>
        <v>0</v>
      </c>
      <c r="O335" s="232">
        <f t="shared" ca="1" si="42"/>
        <v>0</v>
      </c>
      <c r="Q335" s="213">
        <f t="shared" ca="1" si="43"/>
        <v>0</v>
      </c>
    </row>
    <row r="336" spans="1:17" ht="15" x14ac:dyDescent="0.2">
      <c r="B336" s="363" t="s">
        <v>313</v>
      </c>
      <c r="C336" s="364" t="s">
        <v>314</v>
      </c>
      <c r="D336" s="557">
        <f t="shared" ca="1" si="39"/>
        <v>0</v>
      </c>
      <c r="E336" s="557"/>
      <c r="F336" s="557"/>
      <c r="G336" s="557"/>
      <c r="H336" s="558" t="str">
        <f t="shared" ca="1" si="40"/>
        <v/>
      </c>
      <c r="I336" s="558"/>
      <c r="J336" s="558"/>
      <c r="K336" s="420"/>
      <c r="L336" s="230">
        <f>ROUNDDOWN(GRERJFINAL!$D$33/P332,2)</f>
        <v>0</v>
      </c>
      <c r="M336" s="230">
        <f t="shared" ca="1" si="41"/>
        <v>0</v>
      </c>
      <c r="N336" s="233">
        <f ca="1">GRERJFINAL!$F$33/P332</f>
        <v>0</v>
      </c>
      <c r="O336" s="232">
        <f t="shared" ca="1" si="42"/>
        <v>0</v>
      </c>
      <c r="Q336" s="213">
        <f t="shared" ca="1" si="43"/>
        <v>0</v>
      </c>
    </row>
    <row r="337" spans="1:19" ht="15" x14ac:dyDescent="0.2">
      <c r="B337" s="363" t="s">
        <v>315</v>
      </c>
      <c r="C337" s="364" t="s">
        <v>316</v>
      </c>
      <c r="D337" s="557">
        <f t="shared" ca="1" si="39"/>
        <v>0</v>
      </c>
      <c r="E337" s="557"/>
      <c r="F337" s="557"/>
      <c r="G337" s="557"/>
      <c r="H337" s="558" t="str">
        <f t="shared" ca="1" si="40"/>
        <v/>
      </c>
      <c r="I337" s="558"/>
      <c r="J337" s="558"/>
      <c r="K337" s="420"/>
      <c r="L337" s="230">
        <f>ROUNDDOWN(GRERJFINAL!$D$35/P332,2)</f>
        <v>0</v>
      </c>
      <c r="M337" s="230">
        <f t="shared" ca="1" si="41"/>
        <v>0</v>
      </c>
      <c r="N337" s="231">
        <f ca="1">GRERJFINAL!$F$35/P332</f>
        <v>0</v>
      </c>
      <c r="O337" s="232">
        <f t="shared" ca="1" si="42"/>
        <v>0</v>
      </c>
      <c r="Q337" s="213">
        <f t="shared" ca="1" si="43"/>
        <v>0</v>
      </c>
    </row>
    <row r="338" spans="1:19" ht="15" customHeight="1" x14ac:dyDescent="0.2">
      <c r="B338" s="363" t="str">
        <f>IF('Atos Serv. Jud. Lei. 6369'!$O$299&gt;1,"ERRO",IF('Atos Serv. Jud. Lei. 6369'!$O$299=0,"",IF('Atos Serv. Jud. Lei. 6369'!$F$318=1,"1108-0",IF('Atos Serv. Jud. Lei. 6369'!$F$314=1,"1114-0","1108-0"))))</f>
        <v/>
      </c>
      <c r="C338" s="365" t="str">
        <f>IF('Atos Serv. Jud. Lei. 6369'!$O$299&gt;1,"ERRO",IF('Atos Serv. Jud. Lei. 6369'!$O$299=0,"",IF('Atos Serv. Jud. Lei. 6369'!$F$318=1,"Avaliação por Oficial de Justiça",IF('Atos Serv. Jud. Lei. 6369'!$F$314=1,"Central de Avaliadores da Capital","Atos dos Avaliadores Judiciais"))))</f>
        <v/>
      </c>
      <c r="D338" s="557" t="str">
        <f>IF(B338="","",ABS(O338))</f>
        <v/>
      </c>
      <c r="E338" s="557"/>
      <c r="F338" s="557"/>
      <c r="G338" s="557"/>
      <c r="H338" s="558" t="str">
        <f>IF(B338="","",IF(O338=0,"",IF(M338&gt;L338,"A Recolher","A Maior")))</f>
        <v/>
      </c>
      <c r="I338" s="558"/>
      <c r="J338" s="558"/>
      <c r="K338" s="234"/>
      <c r="L338" s="235">
        <f>IF(B338="",0,ROUNDDOWN(GRERJFINAL!$D$37/P332,2))</f>
        <v>0</v>
      </c>
      <c r="M338" s="235">
        <f>IF(B338="",0,ROUNDDOWN(N338,2))</f>
        <v>0</v>
      </c>
      <c r="N338" s="231">
        <f ca="1">GRERJFINAL!$F$37/P332</f>
        <v>0</v>
      </c>
      <c r="O338" s="232">
        <f t="shared" si="42"/>
        <v>0</v>
      </c>
      <c r="Q338" s="213">
        <f t="shared" si="43"/>
        <v>0</v>
      </c>
    </row>
    <row r="339" spans="1:19" ht="15" x14ac:dyDescent="0.2">
      <c r="B339" s="363" t="str">
        <f>IF(GRERJFINAL!$C$39="Avaliador Judicial",GRERJFINAL!$B$39,"")</f>
        <v/>
      </c>
      <c r="C339" s="364" t="str">
        <f>IF('Atos Serv. Jud. Lei. 6369'!$O$299&gt;1,"ERRO",IF('Atos Serv. Jud. Lei. 6369'!$F$316=1,"Avaliador Judicial",""))</f>
        <v/>
      </c>
      <c r="D339" s="557" t="str">
        <f>IF(B339="","",ABS(O339))</f>
        <v/>
      </c>
      <c r="E339" s="557"/>
      <c r="F339" s="557"/>
      <c r="G339" s="557"/>
      <c r="H339" s="558" t="str">
        <f>IF(B339="","",IF(O339=0,"",IF(M339&gt;L339,"A Recolher","A Maior")))</f>
        <v/>
      </c>
      <c r="I339" s="558"/>
      <c r="J339" s="558"/>
      <c r="K339" s="420"/>
      <c r="L339" s="230">
        <f>IF(B339="",0,IF(GRERJFINAL!$C$39="Avaliador Judicial",ROUNDDOWN(GRERJFINAL!$D$39/P332,2),0))</f>
        <v>0</v>
      </c>
      <c r="M339" s="230">
        <f>IF(B339="",0,ROUNDDOWN(N339,2))</f>
        <v>0</v>
      </c>
      <c r="N339" s="231">
        <f ca="1">GRERJFINAL!$F$39/P332</f>
        <v>0</v>
      </c>
      <c r="O339" s="232">
        <f t="shared" si="42"/>
        <v>0</v>
      </c>
      <c r="Q339" s="213">
        <f t="shared" si="43"/>
        <v>0</v>
      </c>
    </row>
    <row r="340" spans="1:19" ht="15" x14ac:dyDescent="0.2">
      <c r="B340" s="366" t="s">
        <v>317</v>
      </c>
      <c r="C340" s="367" t="s">
        <v>318</v>
      </c>
      <c r="D340" s="557">
        <f ca="1">Q340</f>
        <v>0</v>
      </c>
      <c r="E340" s="557"/>
      <c r="F340" s="557"/>
      <c r="G340" s="557"/>
      <c r="H340" s="558" t="str">
        <f ca="1">IF(D340=0,"",IF(D340="","","A Recolher"))</f>
        <v/>
      </c>
      <c r="I340" s="558"/>
      <c r="J340" s="558"/>
      <c r="K340" s="420"/>
      <c r="L340" s="230"/>
      <c r="M340" s="230"/>
      <c r="N340" s="233"/>
      <c r="O340" s="232"/>
      <c r="Q340" s="213">
        <f ca="1">ROUNDDOWN(SUM(Q332:Q339)*0.1,2)</f>
        <v>0</v>
      </c>
    </row>
    <row r="341" spans="1:19" ht="15" x14ac:dyDescent="0.2">
      <c r="A341" s="213"/>
      <c r="B341" s="368" t="str">
        <f>S341</f>
        <v/>
      </c>
      <c r="C341" s="369" t="str">
        <f ca="1">IF(D341="ERRO","Mais de um distribuidor marcado","Atos dos Distribuidores")</f>
        <v>Atos dos Distribuidores</v>
      </c>
      <c r="D341" s="557">
        <f ca="1">IF(GRERJFINAL!F332="ERRO","ERRO",ABS(O341))</f>
        <v>0</v>
      </c>
      <c r="E341" s="557"/>
      <c r="F341" s="557"/>
      <c r="G341" s="557"/>
      <c r="H341" s="558" t="str">
        <f ca="1">IF(D341="ERRO","ERRO",IF(O341=0,"",IF(M341&gt;L341,"A Recolher","A Maior")))</f>
        <v/>
      </c>
      <c r="I341" s="558"/>
      <c r="J341" s="558"/>
      <c r="K341" s="420"/>
      <c r="L341" s="230">
        <f>ROUNDDOWN(GRERJFINAL!$D$43/P332,2)</f>
        <v>0</v>
      </c>
      <c r="M341" s="230">
        <f ca="1">ROUNDDOWN(N341,2)</f>
        <v>0</v>
      </c>
      <c r="N341" s="233">
        <f ca="1">GRERJFINAL!$F$43/P332</f>
        <v>0</v>
      </c>
      <c r="O341" s="232">
        <f ca="1">ROUNDDOWN(L341-M341,2)</f>
        <v>0</v>
      </c>
      <c r="Q341" s="213">
        <f ca="1">IF(H341="A Recolher",D341,0)</f>
        <v>0</v>
      </c>
      <c r="S341" s="212" t="str">
        <f>IF('Atos Serv. Jud. Lei. 6369'!$E$433&gt;0,"2102-2",IF('Atos Serv. Jud. Lei. 6369'!$E$435&gt;0,"3071-0024739-1",IF('Atos Serv. Jud. Lei. 6369'!$E$437&gt;0,"0065-0210279-0",IF('Atos Serv. Jud. Lei. 6369'!$E$439,"0445-0137200-9",IF('Atos Serv. Jud. Lei. 6369'!$E$441&gt;0,"1669-0012095-2","")))))</f>
        <v/>
      </c>
    </row>
    <row r="342" spans="1:19" ht="15" x14ac:dyDescent="0.2">
      <c r="A342" s="213"/>
      <c r="B342" s="370" t="str">
        <f>IF('Atos Serv. Jud. Lei. 6369'!$E$433&gt;0,"2701-1",IF('Atos Serv. Jud. Lei. 6369'!$E$435&gt;0,"2702-9",IF('Atos Serv. Jud. Lei. 6369'!$E$437&gt;0,"2703-7",IF('Atos Serv. Jud. Lei. 6369'!$E$439,"2704-5",IF('Atos Serv. Jud. Lei. 6369'!$E$441,"2705-2","")))))</f>
        <v/>
      </c>
      <c r="C342" s="369" t="str">
        <f>IF(B342="","","Distribuidores (Aviso TJ Nº 22/2013)")</f>
        <v/>
      </c>
      <c r="D342" s="557" t="str">
        <f>IF(B342="","",ABS(O342))</f>
        <v/>
      </c>
      <c r="E342" s="557"/>
      <c r="F342" s="557"/>
      <c r="G342" s="557"/>
      <c r="H342" s="558" t="str">
        <f>IF(B342="","",IF(O342=0,"",IF(M342&gt;L342,"A Recolher","A Maior")))</f>
        <v/>
      </c>
      <c r="I342" s="558"/>
      <c r="J342" s="558"/>
      <c r="K342" s="420"/>
      <c r="L342" s="230">
        <f>ROUNDDOWN(GRERJFINAL!$D$45/P332,2)</f>
        <v>0</v>
      </c>
      <c r="M342" s="230">
        <f ca="1">ROUNDDOWN(N342,2)</f>
        <v>0</v>
      </c>
      <c r="N342" s="233">
        <f ca="1">GRERJFINAL!$F$45/P332</f>
        <v>0</v>
      </c>
      <c r="O342" s="232">
        <f ca="1">ROUNDDOWN(L342-M342,2)</f>
        <v>0</v>
      </c>
      <c r="Q342" s="213">
        <f>IF(H342="A Recolher",D342,0)</f>
        <v>0</v>
      </c>
    </row>
    <row r="343" spans="1:19" ht="15" x14ac:dyDescent="0.2">
      <c r="B343" s="368" t="s">
        <v>321</v>
      </c>
      <c r="C343" s="364" t="s">
        <v>322</v>
      </c>
      <c r="D343" s="557">
        <f ca="1">Q343</f>
        <v>0</v>
      </c>
      <c r="E343" s="557"/>
      <c r="F343" s="557"/>
      <c r="G343" s="557"/>
      <c r="H343" s="558" t="str">
        <f ca="1">IF(D343=0,"",IF(D343="","","A Recolher"))</f>
        <v/>
      </c>
      <c r="I343" s="558"/>
      <c r="J343" s="558"/>
      <c r="K343" s="420"/>
      <c r="L343" s="230"/>
      <c r="M343" s="230"/>
      <c r="N343" s="233"/>
      <c r="O343" s="232"/>
      <c r="Q343" s="213">
        <f ca="1">IF((Q341+Q347+Q349+Q351+Q353)=0,0,ROUNDDOWN((Q341+Q347+Q349+Q351+Q353)*0.2,2))</f>
        <v>0</v>
      </c>
    </row>
    <row r="344" spans="1:19" ht="15" x14ac:dyDescent="0.2">
      <c r="B344" s="363" t="s">
        <v>323</v>
      </c>
      <c r="C344" s="364" t="s">
        <v>324</v>
      </c>
      <c r="D344" s="557">
        <f ca="1">ABS(O344)</f>
        <v>0</v>
      </c>
      <c r="E344" s="557"/>
      <c r="F344" s="557"/>
      <c r="G344" s="557"/>
      <c r="H344" s="558" t="str">
        <f ca="1">IF(O344=0,"",IF(M344&gt;L344,"A Recolher","A Maior"))</f>
        <v/>
      </c>
      <c r="I344" s="558"/>
      <c r="J344" s="558"/>
      <c r="K344" s="420"/>
      <c r="L344" s="230">
        <f>ROUNDDOWN(GRERJFINAL!$D$49/P332,2)</f>
        <v>0</v>
      </c>
      <c r="M344" s="230">
        <f ca="1">ROUNDDOWN(N344,2)</f>
        <v>0</v>
      </c>
      <c r="N344" s="231">
        <f ca="1">GRERJFINAL!$F$49/P332</f>
        <v>0</v>
      </c>
      <c r="O344" s="232">
        <f ca="1">ROUNDDOWN(L344-M344,2)</f>
        <v>0</v>
      </c>
      <c r="P344" s="139"/>
      <c r="Q344" s="213">
        <f ca="1">IF(H344="A Recolher",D344,0)</f>
        <v>0</v>
      </c>
      <c r="R344" s="139"/>
    </row>
    <row r="345" spans="1:19" ht="15" x14ac:dyDescent="0.2">
      <c r="B345" s="363" t="s">
        <v>364</v>
      </c>
      <c r="C345" s="364" t="s">
        <v>326</v>
      </c>
      <c r="D345" s="557">
        <f ca="1">Q345</f>
        <v>0</v>
      </c>
      <c r="E345" s="557"/>
      <c r="F345" s="557"/>
      <c r="G345" s="557"/>
      <c r="H345" s="558" t="str">
        <f ca="1">IF(D345=0,"",IF(D345="","","A Recolher"))</f>
        <v/>
      </c>
      <c r="I345" s="558"/>
      <c r="J345" s="558"/>
      <c r="K345" s="420"/>
      <c r="L345" s="230"/>
      <c r="M345" s="230"/>
      <c r="N345" s="233"/>
      <c r="O345" s="232"/>
      <c r="Q345" s="213">
        <f ca="1">ROUNDDOWN((SUM(Q332:Q339)+Q341+Q347+Q349+Q351+Q353)*0.05,2)</f>
        <v>0</v>
      </c>
    </row>
    <row r="346" spans="1:19" ht="15" x14ac:dyDescent="0.2">
      <c r="B346" s="363" t="s">
        <v>365</v>
      </c>
      <c r="C346" s="371" t="s">
        <v>328</v>
      </c>
      <c r="D346" s="567">
        <f ca="1">D345</f>
        <v>0</v>
      </c>
      <c r="E346" s="567"/>
      <c r="F346" s="567"/>
      <c r="G346" s="567"/>
      <c r="H346" s="591" t="str">
        <f ca="1">IF(D346=0,"",IF(D346="","","A Recolher"))</f>
        <v/>
      </c>
      <c r="I346" s="591"/>
      <c r="J346" s="591"/>
      <c r="K346" s="420"/>
      <c r="L346" s="230"/>
      <c r="M346" s="230"/>
      <c r="N346" s="233"/>
      <c r="O346" s="232"/>
      <c r="Q346" s="213">
        <f ca="1">Q345</f>
        <v>0</v>
      </c>
    </row>
    <row r="347" spans="1:19" ht="15" x14ac:dyDescent="0.2">
      <c r="B347" s="363" t="str">
        <f>S347</f>
        <v/>
      </c>
      <c r="C347" s="369" t="str">
        <f>IF(B347="","",IF(D347="ERRO","Mais de um distribuidor marcado","Atos dos Distribuidores"))</f>
        <v/>
      </c>
      <c r="D347" s="565">
        <f>IF(GRERJFINAL!F344="ERRO","ERRO",IF(B347="",0,ABS(O347)))</f>
        <v>0</v>
      </c>
      <c r="E347" s="565"/>
      <c r="F347" s="565"/>
      <c r="G347" s="565"/>
      <c r="H347" s="558" t="str">
        <f>IF(D347="ERRO","ERRO",IF(B347="","",IF(O347=0,"",IF(M347&gt;L347,"A Recolher","A Maior"))))</f>
        <v/>
      </c>
      <c r="I347" s="558"/>
      <c r="J347" s="558"/>
      <c r="K347" s="420"/>
      <c r="L347" s="230">
        <f>IF(B347="",0,ROUNDDOWN(GRERJFINAL!$D$55/P332,2))</f>
        <v>0</v>
      </c>
      <c r="M347" s="230">
        <f t="shared" ref="M347:M354" si="44">IF(B347="",0,ROUNDDOWN(N347,2))</f>
        <v>0</v>
      </c>
      <c r="N347" s="226">
        <f ca="1">GRERJFINAL!$F$55/P332</f>
        <v>0</v>
      </c>
      <c r="O347" s="232">
        <f t="shared" ref="O347:O358" si="45">ROUNDDOWN(L347-M347,2)</f>
        <v>0</v>
      </c>
      <c r="Q347" s="213">
        <f t="shared" ref="Q347:Q358" si="46">IF(H347="A Recolher",D347,0)</f>
        <v>0</v>
      </c>
      <c r="S347" s="212" t="str">
        <f>IF('Atos Serv. Jud. Lei. 6369'!$E$457&gt;0,"2102-2",IF('Atos Serv. Jud. Lei. 6369'!$E$459&gt;0,"3071-0024739-1",IF('Atos Serv. Jud. Lei. 6369'!$E$461&gt;0,"0065-0210279-0",IF('Atos Serv. Jud. Lei. 6369'!$E$463,"0445-0137200-9",IF('Atos Serv. Jud. Lei. 6369'!$E$465&gt;0,"1669-0012095-2","")))))</f>
        <v/>
      </c>
    </row>
    <row r="348" spans="1:19" ht="15" x14ac:dyDescent="0.2">
      <c r="B348" s="372" t="str">
        <f>IF('Atos Serv. Jud. Lei. 6369'!$E$457&gt;0,"2701-1",IF('Atos Serv. Jud. Lei. 6369'!$E$459&gt;0,"2702-9",IF('Atos Serv. Jud. Lei. 6369'!$E$461&gt;0,"2703-7",IF('Atos Serv. Jud. Lei. 6369'!$E$463,"2704-5",IF('Atos Serv. Jud. Lei. 6369'!$E$465,"2705-2","")))))</f>
        <v/>
      </c>
      <c r="C348" s="369" t="str">
        <f>IF(B348="","","Distribuidores (Aviso TJ Nº 22/2013)")</f>
        <v/>
      </c>
      <c r="D348" s="557" t="str">
        <f>IF(B348="","",ABS(O348))</f>
        <v/>
      </c>
      <c r="E348" s="557"/>
      <c r="F348" s="557"/>
      <c r="G348" s="557"/>
      <c r="H348" s="558" t="str">
        <f>IF(B348="","",IF(O348=0,"",IF(M348&gt;L348,"A Recolher","A Maior")))</f>
        <v/>
      </c>
      <c r="I348" s="558"/>
      <c r="J348" s="558"/>
      <c r="K348" s="420"/>
      <c r="L348" s="230">
        <f>IF(B348="",0,ROUNDDOWN(GRERJFINAL!$D$57/P332,2))</f>
        <v>0</v>
      </c>
      <c r="M348" s="230">
        <f t="shared" si="44"/>
        <v>0</v>
      </c>
      <c r="N348" s="226">
        <f ca="1">GRERJFINAL!$F$57/P332</f>
        <v>0</v>
      </c>
      <c r="O348" s="232">
        <f t="shared" si="45"/>
        <v>0</v>
      </c>
      <c r="Q348" s="213">
        <f t="shared" si="46"/>
        <v>0</v>
      </c>
    </row>
    <row r="349" spans="1:19" ht="15" x14ac:dyDescent="0.2">
      <c r="B349" s="373" t="str">
        <f>S349</f>
        <v/>
      </c>
      <c r="C349" s="374" t="str">
        <f>IF(B349="","",IF(D349="ERRO","Mais de um distribuidor marcado","Atos dos Distribuidores"))</f>
        <v/>
      </c>
      <c r="D349" s="565">
        <f>IF(GRERJFINAL!F348="ERRO","ERRO",IF(B349="",0,ABS(O349)))</f>
        <v>0</v>
      </c>
      <c r="E349" s="565"/>
      <c r="F349" s="565"/>
      <c r="G349" s="565"/>
      <c r="H349" s="566" t="str">
        <f>IF(D349="ERRO","ERRO",IF(B349="","",IF(O349=0,"",IF(M349&gt;L349,"A Recolher","A Maior"))))</f>
        <v/>
      </c>
      <c r="I349" s="566"/>
      <c r="J349" s="566"/>
      <c r="K349" s="420"/>
      <c r="L349" s="230">
        <f>IF(B349="",0,ROUNDDOWN(GRERJFINAL!$D$59/P332,2))</f>
        <v>0</v>
      </c>
      <c r="M349" s="230">
        <f t="shared" si="44"/>
        <v>0</v>
      </c>
      <c r="N349" s="226">
        <f ca="1">GRERJFINAL!$F$59/P332</f>
        <v>0</v>
      </c>
      <c r="O349" s="232">
        <f t="shared" si="45"/>
        <v>0</v>
      </c>
      <c r="Q349" s="213">
        <f t="shared" si="46"/>
        <v>0</v>
      </c>
      <c r="S349" s="212" t="str">
        <f>IF('Atos Serv. Jud. Lei. 6369'!$E$481&gt;0,"2102-2",IF('Atos Serv. Jud. Lei. 6369'!$E$483&gt;0,"3071-0024739-1",IF('Atos Serv. Jud. Lei. 6369'!$E$485&gt;0,"0065-0210279-0",IF('Atos Serv. Jud. Lei. 6369'!$E$487,"0445-0137200-9",IF('Atos Serv. Jud. Lei. 6369'!$E$489&gt;0,"1669-0012095-2","")))))</f>
        <v/>
      </c>
    </row>
    <row r="350" spans="1:19" ht="15" x14ac:dyDescent="0.2">
      <c r="B350" s="375" t="str">
        <f>IF('Atos Serv. Jud. Lei. 6369'!$E$481&gt;0,"2701-1",IF('Atos Serv. Jud. Lei. 6369'!$E$483&gt;0,"2702-9",IF('Atos Serv. Jud. Lei. 6369'!$E$485&gt;0,"2703-7",IF('Atos Serv. Jud. Lei. 6369'!$E$487,"2704-5",IF('Atos Serv. Jud. Lei. 6369'!$E$489,"2705-2","")))))</f>
        <v/>
      </c>
      <c r="C350" s="376" t="str">
        <f>IF(B350="","","Distribuidores (Aviso TJ Nº 22/2013)")</f>
        <v/>
      </c>
      <c r="D350" s="557" t="str">
        <f>IF(B350="","",ABS(O350))</f>
        <v/>
      </c>
      <c r="E350" s="557"/>
      <c r="F350" s="557"/>
      <c r="G350" s="557"/>
      <c r="H350" s="558" t="str">
        <f>IF(B350="","",IF(O350=0,"",IF(M350&gt;L350,"A Recolher","A Maior")))</f>
        <v/>
      </c>
      <c r="I350" s="558"/>
      <c r="J350" s="558"/>
      <c r="K350" s="420"/>
      <c r="L350" s="230">
        <f>IF(B350="",0,ROUNDDOWN(GRERJFINAL!$D$61/P332,2))</f>
        <v>0</v>
      </c>
      <c r="M350" s="230">
        <f t="shared" si="44"/>
        <v>0</v>
      </c>
      <c r="N350" s="226">
        <f ca="1">GRERJFINAL!$F$61/P332</f>
        <v>0</v>
      </c>
      <c r="O350" s="232">
        <f t="shared" si="45"/>
        <v>0</v>
      </c>
      <c r="Q350" s="213">
        <f t="shared" si="46"/>
        <v>0</v>
      </c>
    </row>
    <row r="351" spans="1:19" ht="15" x14ac:dyDescent="0.2">
      <c r="B351" s="375" t="str">
        <f>S351</f>
        <v/>
      </c>
      <c r="C351" s="374" t="str">
        <f>IF(B351="","",IF(D351="ERRO","Mais de um distribuidor marcado","Atos dos Distribuidores"))</f>
        <v/>
      </c>
      <c r="D351" s="565">
        <f>IF(GRERJFINAL!F352="ERRO","ERRO",IF(B351="",0,ABS(O351)))</f>
        <v>0</v>
      </c>
      <c r="E351" s="565"/>
      <c r="F351" s="565"/>
      <c r="G351" s="565"/>
      <c r="H351" s="566" t="str">
        <f>IF(D351="ERRO","ERRO",IF(B351="","",IF(O351=0,"",IF(M351&gt;L351,"A Recolher","A Maior"))))</f>
        <v/>
      </c>
      <c r="I351" s="566"/>
      <c r="J351" s="566"/>
      <c r="K351" s="420"/>
      <c r="L351" s="230">
        <f>IF(B351="",0,ROUNDDOWN(GRERJFINAL!$D$63/P332,2))</f>
        <v>0</v>
      </c>
      <c r="M351" s="230">
        <f t="shared" si="44"/>
        <v>0</v>
      </c>
      <c r="N351" s="226">
        <f ca="1">GRERJFINAL!$F$63/P332</f>
        <v>0</v>
      </c>
      <c r="O351" s="232">
        <f t="shared" si="45"/>
        <v>0</v>
      </c>
      <c r="Q351" s="213">
        <f t="shared" si="46"/>
        <v>0</v>
      </c>
      <c r="S351" s="212" t="str">
        <f>IF('Atos Serv. Jud. Lei. 6369'!$E$505&gt;0,"2102-2",IF('Atos Serv. Jud. Lei. 6369'!$E$507&gt;0,"3071-0024739-1",IF('Atos Serv. Jud. Lei. 6369'!$E$509&gt;0,"0065-0210279-0",IF('Atos Serv. Jud. Lei. 6369'!$E$511,"0445-0137200-9",IF('Atos Serv. Jud. Lei. 6369'!$E$513&gt;0,"1669-0012095-2","")))))</f>
        <v/>
      </c>
    </row>
    <row r="352" spans="1:19" ht="15" x14ac:dyDescent="0.2">
      <c r="B352" s="375" t="str">
        <f>IF('Atos Serv. Jud. Lei. 6369'!$E$505&gt;0,"2701-1",IF('Atos Serv. Jud. Lei. 6369'!$E$507&gt;0,"2702-9",IF('Atos Serv. Jud. Lei. 6369'!$E$509&gt;0,"2703-7",IF('Atos Serv. Jud. Lei. 6369'!$E$511,"2704-5",IF('Atos Serv. Jud. Lei. 6369'!$E$513,"2705-2","")))))</f>
        <v/>
      </c>
      <c r="C352" s="374" t="str">
        <f>IF(B352="","","Distribuidores (Aviso TJ Nº 22/2013)")</f>
        <v/>
      </c>
      <c r="D352" s="557" t="str">
        <f>IF(B352="","",ABS(O352))</f>
        <v/>
      </c>
      <c r="E352" s="557"/>
      <c r="F352" s="557"/>
      <c r="G352" s="557"/>
      <c r="H352" s="558" t="str">
        <f>IF(B352="","",IF(O352=0,"",IF(M352&gt;L352,"A Recolher","A Maior")))</f>
        <v/>
      </c>
      <c r="I352" s="558"/>
      <c r="J352" s="558"/>
      <c r="K352" s="420"/>
      <c r="L352" s="230">
        <f>IF(B352="",0,ROUNDDOWN(GRERJFINAL!$D$65/P332,2))</f>
        <v>0</v>
      </c>
      <c r="M352" s="230">
        <f t="shared" si="44"/>
        <v>0</v>
      </c>
      <c r="N352" s="226">
        <f ca="1">GRERJFINAL!$F$65/P332</f>
        <v>0</v>
      </c>
      <c r="O352" s="232">
        <f t="shared" si="45"/>
        <v>0</v>
      </c>
      <c r="Q352" s="213">
        <f t="shared" si="46"/>
        <v>0</v>
      </c>
    </row>
    <row r="353" spans="1:21" ht="12.75" customHeight="1" x14ac:dyDescent="0.2">
      <c r="B353" s="375" t="str">
        <f>S353</f>
        <v/>
      </c>
      <c r="C353" s="374" t="str">
        <f>IF(B353="","",IF(D353="ERRO","Mais de um distribuidor marcado","Atos dos Distribuidores"))</f>
        <v/>
      </c>
      <c r="D353" s="565">
        <f>IF(GRERJFINAL!F356="ERRO","ERRO",IF(B353="",0,ABS(O353)))</f>
        <v>0</v>
      </c>
      <c r="E353" s="565"/>
      <c r="F353" s="565"/>
      <c r="G353" s="565"/>
      <c r="H353" s="566" t="str">
        <f>IF(D353="ERRO","ERRO",IF(B353="","",IF(O353=0,"",IF(M353&gt;L353,"A Recolher","A Maior"))))</f>
        <v/>
      </c>
      <c r="I353" s="566"/>
      <c r="J353" s="566"/>
      <c r="K353" s="420"/>
      <c r="L353" s="230">
        <f>IF(B353="",0,ROUNDDOWN(GRERJFINAL!$D$67/P332,2))</f>
        <v>0</v>
      </c>
      <c r="M353" s="230">
        <f t="shared" si="44"/>
        <v>0</v>
      </c>
      <c r="N353" s="226">
        <f ca="1">GRERJFINAL!$F$67/P332</f>
        <v>0</v>
      </c>
      <c r="O353" s="232">
        <f t="shared" si="45"/>
        <v>0</v>
      </c>
      <c r="Q353" s="213">
        <f t="shared" si="46"/>
        <v>0</v>
      </c>
      <c r="S353" s="212" t="str">
        <f>IF('Atos Serv. Jud. Lei. 6369'!$E$529&gt;0,"2102-2",IF('Atos Serv. Jud. Lei. 6369'!$E$531&gt;0,"3071-0024739-1",IF('Atos Serv. Jud. Lei. 6369'!$E$533&gt;0,"0065-0210279-0",IF('Atos Serv. Jud. Lei. 6369'!$E$535,"0445-0137200-9",IF('Atos Serv. Jud. Lei. 6369'!$E$537&gt;0,"1669-0012095-2","")))))</f>
        <v/>
      </c>
    </row>
    <row r="354" spans="1:21" ht="15" x14ac:dyDescent="0.2">
      <c r="B354" s="375" t="str">
        <f>IF('Atos Serv. Jud. Lei. 6369'!$E$529&gt;0,"2701-1",IF('Atos Serv. Jud. Lei. 6369'!$E$531&gt;0,"2702-9",IF('Atos Serv. Jud. Lei. 6369'!$E$533&gt;0,"2703-7",IF('Atos Serv. Jud. Lei. 6369'!$E$535,"2704-5",IF('Atos Serv. Jud. Lei. 6369'!$E$537,"2705-2","")))))</f>
        <v/>
      </c>
      <c r="C354" s="374" t="str">
        <f>IF(B354="","","Distribuidores (Aviso TJ Nº 22/2013)")</f>
        <v/>
      </c>
      <c r="D354" s="557" t="str">
        <f>IF(B354="","",ABS(O354))</f>
        <v/>
      </c>
      <c r="E354" s="557"/>
      <c r="F354" s="557"/>
      <c r="G354" s="557"/>
      <c r="H354" s="558" t="str">
        <f>IF(B354="","",IF(O354=0,"",IF(M354&gt;L354,"A Recolher","A Maior")))</f>
        <v/>
      </c>
      <c r="I354" s="558"/>
      <c r="J354" s="558"/>
      <c r="K354" s="420"/>
      <c r="L354" s="230">
        <f>IF(B354="",0,ROUNDDOWN(GRERJFINAL!$D$69/P332,2))</f>
        <v>0</v>
      </c>
      <c r="M354" s="230">
        <f t="shared" si="44"/>
        <v>0</v>
      </c>
      <c r="N354" s="226">
        <f ca="1">GRERJFINAL!$F$69/P332</f>
        <v>0</v>
      </c>
      <c r="O354" s="232">
        <f t="shared" si="45"/>
        <v>0</v>
      </c>
      <c r="Q354" s="213">
        <f t="shared" si="46"/>
        <v>0</v>
      </c>
    </row>
    <row r="355" spans="1:21" ht="12.75" customHeight="1" x14ac:dyDescent="0.2">
      <c r="B355" s="386" t="str">
        <f ca="1">IF(D355=0,"","2111-1")</f>
        <v/>
      </c>
      <c r="C355" s="376" t="str">
        <f ca="1">IF(D355=0,"","Multa para Litigância de Má-Fé")</f>
        <v/>
      </c>
      <c r="D355" s="565">
        <f ca="1">ABS(O355)</f>
        <v>0</v>
      </c>
      <c r="E355" s="565"/>
      <c r="F355" s="565"/>
      <c r="G355" s="565"/>
      <c r="H355" s="566" t="str">
        <f ca="1">IF(O355=0,"",IF(M355&gt;L355,"A Recolher","A Maior"))</f>
        <v/>
      </c>
      <c r="I355" s="566"/>
      <c r="J355" s="566"/>
      <c r="K355" s="420"/>
      <c r="L355" s="230">
        <f>ROUNDDOWN(GRERJFINAL!$D$71/P332,2)</f>
        <v>0</v>
      </c>
      <c r="M355" s="230">
        <f ca="1">ROUNDDOWN(N355,2)</f>
        <v>0</v>
      </c>
      <c r="N355" s="226">
        <f ca="1">GRERJFINAL!$F$71/P332</f>
        <v>0</v>
      </c>
      <c r="O355" s="232">
        <f t="shared" ca="1" si="45"/>
        <v>0</v>
      </c>
      <c r="Q355" s="213">
        <f t="shared" ca="1" si="46"/>
        <v>0</v>
      </c>
    </row>
    <row r="356" spans="1:21" ht="12.75" customHeight="1" x14ac:dyDescent="0.2">
      <c r="B356" s="387" t="str">
        <f ca="1">IF(D356=0,"","2210-3")</f>
        <v/>
      </c>
      <c r="C356" s="388" t="str">
        <f ca="1">IF(D356=0,"","Reembolso de Auxílio Pericial")</f>
        <v/>
      </c>
      <c r="D356" s="597">
        <f ca="1">ABS(O356)</f>
        <v>0</v>
      </c>
      <c r="E356" s="597"/>
      <c r="F356" s="597"/>
      <c r="G356" s="597"/>
      <c r="H356" s="604" t="str">
        <f ca="1">IF(O356=0,"",IF(M356&gt;L356,"A Recolher","A Maior"))</f>
        <v/>
      </c>
      <c r="I356" s="604"/>
      <c r="J356" s="604"/>
      <c r="K356" s="420"/>
      <c r="L356" s="230">
        <f>ROUNDDOWN(GRERJFINAL!$D$73/P332,2)</f>
        <v>0</v>
      </c>
      <c r="M356" s="230">
        <f ca="1">ROUNDDOWN(N356,2)</f>
        <v>0</v>
      </c>
      <c r="N356" s="226">
        <f ca="1">GRERJFINAL!$F$73/P332</f>
        <v>0</v>
      </c>
      <c r="O356" s="232">
        <f t="shared" ca="1" si="45"/>
        <v>0</v>
      </c>
      <c r="Q356" s="213">
        <f t="shared" ca="1" si="46"/>
        <v>0</v>
      </c>
    </row>
    <row r="357" spans="1:21" ht="15" x14ac:dyDescent="0.2">
      <c r="A357" s="358"/>
      <c r="B357" s="389" t="str">
        <f ca="1">IF(D357=0,"","2212-9")</f>
        <v/>
      </c>
      <c r="C357" s="360" t="str">
        <f ca="1">IF(D357=0,"","Diversos")</f>
        <v/>
      </c>
      <c r="D357" s="572">
        <f ca="1">ABS(O357)</f>
        <v>0</v>
      </c>
      <c r="E357" s="573"/>
      <c r="F357" s="573"/>
      <c r="G357" s="574"/>
      <c r="H357" s="598" t="str">
        <f ca="1">IF(O357=0,"",IF(M357&gt;L357,"A Recolher","A Maior"))</f>
        <v/>
      </c>
      <c r="I357" s="599"/>
      <c r="J357" s="600"/>
      <c r="K357" s="420"/>
      <c r="L357" s="230">
        <f>ROUNDDOWN(GRERJFINAL!$D$75/P332,2)</f>
        <v>0</v>
      </c>
      <c r="M357" s="230">
        <f ca="1">ROUNDDOWN(N357,2)</f>
        <v>0</v>
      </c>
      <c r="N357" s="226">
        <f ca="1">GRERJFINAL!$F$75/P332</f>
        <v>0</v>
      </c>
      <c r="O357" s="232">
        <f t="shared" ca="1" si="45"/>
        <v>0</v>
      </c>
      <c r="Q357" s="213">
        <f t="shared" ca="1" si="46"/>
        <v>0</v>
      </c>
      <c r="S357" s="359"/>
      <c r="U357" s="359"/>
    </row>
    <row r="358" spans="1:21" ht="15.75" thickBot="1" x14ac:dyDescent="0.25">
      <c r="A358" s="358"/>
      <c r="B358" s="389" t="str">
        <f ca="1">IF(D358=0,"","6246-0088011-6")</f>
        <v/>
      </c>
      <c r="C358" s="360" t="str">
        <f ca="1">IF(D358=0,"","Mediação/Conciliação")</f>
        <v/>
      </c>
      <c r="D358" s="572">
        <f ca="1">ABS(O358)</f>
        <v>0</v>
      </c>
      <c r="E358" s="573"/>
      <c r="F358" s="573"/>
      <c r="G358" s="574"/>
      <c r="H358" s="598" t="str">
        <f ca="1">IF(O358=0,"",IF(M358&gt;L358,"A Recolher","A Maior"))</f>
        <v/>
      </c>
      <c r="I358" s="599"/>
      <c r="J358" s="600"/>
      <c r="K358" s="420"/>
      <c r="L358" s="230">
        <f>ROUNDDOWN(GRERJFINAL!$D$77/P332,2)</f>
        <v>0</v>
      </c>
      <c r="M358" s="230">
        <f ca="1">ROUNDDOWN(N358,2)</f>
        <v>0</v>
      </c>
      <c r="N358" s="226">
        <f ca="1">GRERJFINAL!$F$77/P332</f>
        <v>0</v>
      </c>
      <c r="O358" s="232">
        <f t="shared" ca="1" si="45"/>
        <v>0</v>
      </c>
      <c r="Q358" s="213">
        <f t="shared" ca="1" si="46"/>
        <v>0</v>
      </c>
      <c r="S358" s="359"/>
      <c r="U358" s="359"/>
    </row>
    <row r="359" spans="1:21" ht="15.75" thickBot="1" x14ac:dyDescent="0.25">
      <c r="B359" s="236"/>
      <c r="C359" s="237" t="s">
        <v>366</v>
      </c>
      <c r="D359" s="592">
        <f ca="1">Q359</f>
        <v>0</v>
      </c>
      <c r="E359" s="592"/>
      <c r="F359" s="592"/>
      <c r="G359" s="608"/>
      <c r="H359" s="609"/>
      <c r="I359" s="593"/>
      <c r="J359" s="593"/>
      <c r="K359" s="2"/>
      <c r="L359" s="238"/>
      <c r="M359" s="238"/>
      <c r="N359" s="239"/>
      <c r="O359" s="240"/>
      <c r="Q359" s="213">
        <f ca="1">SUM(Q332:Q358)</f>
        <v>0</v>
      </c>
    </row>
    <row r="360" spans="1:21" ht="15" x14ac:dyDescent="0.2">
      <c r="B360" s="1"/>
      <c r="C360" s="1"/>
      <c r="D360" s="420"/>
      <c r="E360" s="420"/>
      <c r="F360" s="420"/>
      <c r="G360" s="420"/>
      <c r="H360" s="420"/>
      <c r="I360" s="420"/>
      <c r="J360" s="420"/>
      <c r="K360" s="420"/>
      <c r="L360" s="420"/>
      <c r="M360" s="420"/>
    </row>
    <row r="361" spans="1:21" ht="15" x14ac:dyDescent="0.2">
      <c r="B361" s="173" t="s">
        <v>367</v>
      </c>
      <c r="C361" s="216" t="s">
        <v>368</v>
      </c>
      <c r="D361" s="581"/>
      <c r="E361" s="581"/>
      <c r="F361" s="581"/>
      <c r="G361" s="581"/>
      <c r="H361" s="581"/>
      <c r="I361" s="581"/>
      <c r="J361" s="581"/>
      <c r="K361" s="581"/>
    </row>
    <row r="362" spans="1:21" ht="15.75" thickBot="1" x14ac:dyDescent="0.25"/>
    <row r="363" spans="1:21" ht="36.6" customHeight="1" thickBot="1" x14ac:dyDescent="0.25">
      <c r="B363" s="241" t="s">
        <v>299</v>
      </c>
      <c r="C363" s="242" t="s">
        <v>300</v>
      </c>
      <c r="D363" s="582" t="s">
        <v>359</v>
      </c>
      <c r="E363" s="582"/>
      <c r="F363" s="582"/>
      <c r="G363" s="582"/>
      <c r="H363" s="583" t="s">
        <v>360</v>
      </c>
      <c r="I363" s="583"/>
      <c r="J363" s="583"/>
      <c r="K363" s="229"/>
      <c r="L363" s="229" t="s">
        <v>361</v>
      </c>
      <c r="M363" s="229" t="s">
        <v>362</v>
      </c>
    </row>
    <row r="364" spans="1:21" ht="15" x14ac:dyDescent="0.2">
      <c r="B364" s="380" t="s">
        <v>337</v>
      </c>
      <c r="C364" s="381" t="s">
        <v>338</v>
      </c>
      <c r="D364" s="584">
        <f ca="1">ABS(O364)</f>
        <v>0</v>
      </c>
      <c r="E364" s="584"/>
      <c r="F364" s="584"/>
      <c r="G364" s="584"/>
      <c r="H364" s="569" t="str">
        <f ca="1">IF(O364=0,"",IF(M364&gt;L364,"A Recolher","A Maior"))</f>
        <v/>
      </c>
      <c r="I364" s="569"/>
      <c r="J364" s="569"/>
      <c r="K364" s="420"/>
      <c r="L364" s="230">
        <f>ROUNDDOWN(GRERJFINAL!$D$82/P332,2)</f>
        <v>0</v>
      </c>
      <c r="M364" s="230">
        <f ca="1">ROUNDDOWN(N364,2)</f>
        <v>0</v>
      </c>
      <c r="N364" s="239">
        <f ca="1">GRERJFINAL!$F$82/P332</f>
        <v>0</v>
      </c>
      <c r="O364" s="243">
        <f ca="1">ROUNDDOWN(L364-M364,2)</f>
        <v>0</v>
      </c>
      <c r="Q364" s="213">
        <f ca="1">IF(H364="A Recolher",D364,0)</f>
        <v>0</v>
      </c>
    </row>
    <row r="365" spans="1:21" ht="12.75" customHeight="1" x14ac:dyDescent="0.2">
      <c r="B365" s="381" t="s">
        <v>307</v>
      </c>
      <c r="C365" s="381" t="s">
        <v>308</v>
      </c>
      <c r="D365" s="578">
        <f ca="1">ABS(O365)</f>
        <v>0</v>
      </c>
      <c r="E365" s="578"/>
      <c r="F365" s="578"/>
      <c r="G365" s="578"/>
      <c r="H365" s="558" t="str">
        <f ca="1">IF(O365=0,"",IF(M365&gt;L365,"A Recolher","A Maior"))</f>
        <v/>
      </c>
      <c r="I365" s="558"/>
      <c r="J365" s="558"/>
      <c r="K365" s="420"/>
      <c r="L365" s="230">
        <f>ROUNDDOWN(GRERJFINAL!$D$84/P332,2)</f>
        <v>0</v>
      </c>
      <c r="M365" s="230">
        <f ca="1">ROUNDDOWN(N365,2)</f>
        <v>0</v>
      </c>
      <c r="N365" s="239">
        <f ca="1">GRERJFINAL!$F$84/P332</f>
        <v>0</v>
      </c>
      <c r="O365" s="243">
        <f ca="1">ROUNDDOWN(L365-M365,2)</f>
        <v>0</v>
      </c>
      <c r="Q365" s="213">
        <f ca="1">IF(H365="A Recolher",D365,0)</f>
        <v>0</v>
      </c>
    </row>
    <row r="366" spans="1:21" ht="15" x14ac:dyDescent="0.2">
      <c r="B366" s="382" t="s">
        <v>317</v>
      </c>
      <c r="C366" s="382" t="s">
        <v>318</v>
      </c>
      <c r="D366" s="578">
        <f ca="1">Q366</f>
        <v>0</v>
      </c>
      <c r="E366" s="578"/>
      <c r="F366" s="578"/>
      <c r="G366" s="578"/>
      <c r="H366" s="558" t="str">
        <f ca="1">IF(D366=0,"",IF(D366="","","A Recolher"))</f>
        <v/>
      </c>
      <c r="I366" s="558"/>
      <c r="J366" s="558"/>
      <c r="K366" s="420"/>
      <c r="L366" s="230"/>
      <c r="M366" s="230"/>
      <c r="N366" s="239"/>
      <c r="O366" s="243"/>
      <c r="Q366" s="213">
        <f ca="1">ROUNDDOWN(SUM(Q364:Q365)*0.1,2)</f>
        <v>0</v>
      </c>
      <c r="T366" s="246"/>
      <c r="U366" s="246"/>
    </row>
    <row r="367" spans="1:21" ht="15" x14ac:dyDescent="0.2">
      <c r="B367" s="382" t="s">
        <v>364</v>
      </c>
      <c r="C367" s="382" t="s">
        <v>326</v>
      </c>
      <c r="D367" s="578">
        <f ca="1">Q367</f>
        <v>0</v>
      </c>
      <c r="E367" s="578"/>
      <c r="F367" s="578"/>
      <c r="G367" s="578"/>
      <c r="H367" s="558" t="str">
        <f ca="1">IF(D367=0,"",IF(D367="","","A Recolher"))</f>
        <v/>
      </c>
      <c r="I367" s="558"/>
      <c r="J367" s="558"/>
      <c r="K367" s="420"/>
      <c r="L367" s="230"/>
      <c r="M367" s="230"/>
      <c r="N367" s="239"/>
      <c r="O367" s="243"/>
      <c r="Q367" s="213">
        <f ca="1">ROUNDDOWN(SUM(Q364:Q365)*0.05,2)</f>
        <v>0</v>
      </c>
      <c r="T367" s="246"/>
    </row>
    <row r="368" spans="1:21" ht="15.75" thickBot="1" x14ac:dyDescent="0.25">
      <c r="B368" s="363" t="s">
        <v>365</v>
      </c>
      <c r="C368" s="383" t="s">
        <v>328</v>
      </c>
      <c r="D368" s="586">
        <f ca="1">D367</f>
        <v>0</v>
      </c>
      <c r="E368" s="586"/>
      <c r="F368" s="586"/>
      <c r="G368" s="586"/>
      <c r="H368" s="558" t="str">
        <f ca="1">IF(D368=0,"",IF(D368="","","A Recolher"))</f>
        <v/>
      </c>
      <c r="I368" s="558"/>
      <c r="J368" s="558"/>
      <c r="K368" s="420"/>
      <c r="L368" s="230"/>
      <c r="M368" s="230"/>
      <c r="N368" s="239"/>
      <c r="O368" s="243"/>
      <c r="Q368" s="213">
        <f ca="1">IF(H368="A Recolher",D368,0)</f>
        <v>0</v>
      </c>
    </row>
    <row r="369" spans="1:19" ht="15.75" thickBot="1" x14ac:dyDescent="0.25">
      <c r="B369" s="236"/>
      <c r="C369" s="244" t="s">
        <v>366</v>
      </c>
      <c r="D369" s="594">
        <f ca="1">Q369</f>
        <v>0</v>
      </c>
      <c r="E369" s="594"/>
      <c r="F369" s="594"/>
      <c r="G369" s="594"/>
      <c r="H369" s="595"/>
      <c r="I369" s="595"/>
      <c r="J369" s="595"/>
      <c r="K369" s="230"/>
      <c r="L369" s="420"/>
      <c r="M369" s="420"/>
      <c r="N369" s="239"/>
      <c r="O369" s="240"/>
      <c r="Q369" s="213">
        <f ca="1">SUM(Q364:Q368)</f>
        <v>0</v>
      </c>
    </row>
    <row r="370" spans="1:19" ht="5.25" customHeight="1" x14ac:dyDescent="0.2">
      <c r="B370" s="4"/>
      <c r="C370" s="498"/>
      <c r="D370" s="230"/>
      <c r="E370" s="230"/>
      <c r="F370" s="230"/>
      <c r="G370" s="230"/>
      <c r="H370" s="230"/>
      <c r="I370" s="230"/>
      <c r="J370" s="230"/>
      <c r="K370" s="230"/>
      <c r="L370" s="497"/>
      <c r="M370" s="497"/>
      <c r="N370" s="239"/>
      <c r="O370" s="240"/>
    </row>
    <row r="371" spans="1:19" ht="15" x14ac:dyDescent="0.2">
      <c r="B371" s="245" t="s">
        <v>369</v>
      </c>
      <c r="C371" s="589">
        <f ca="1">TODAY()</f>
        <v>43209</v>
      </c>
      <c r="D371" s="589"/>
      <c r="E371" s="589"/>
      <c r="F371" s="589"/>
      <c r="G371" s="589"/>
      <c r="H371" s="589"/>
      <c r="I371" s="589"/>
      <c r="J371" s="589"/>
      <c r="K371" s="246"/>
      <c r="L371" s="246"/>
      <c r="M371" s="246"/>
      <c r="N371" s="246"/>
      <c r="O371" s="246"/>
      <c r="P371" s="246"/>
      <c r="Q371" s="238"/>
      <c r="R371" s="246"/>
      <c r="S371" s="246"/>
    </row>
    <row r="372" spans="1:19" ht="15" x14ac:dyDescent="0.2">
      <c r="B372" s="245"/>
      <c r="C372" s="245"/>
      <c r="D372" s="421"/>
      <c r="E372" s="421"/>
      <c r="F372" s="421"/>
      <c r="G372" s="421"/>
      <c r="H372" s="421"/>
      <c r="I372" s="421"/>
      <c r="J372" s="421"/>
      <c r="K372" s="421"/>
      <c r="L372" s="246"/>
      <c r="M372" s="246"/>
      <c r="N372" s="246"/>
      <c r="O372" s="246"/>
      <c r="P372" s="246"/>
      <c r="Q372" s="238"/>
      <c r="R372" s="246"/>
      <c r="S372" s="246"/>
    </row>
    <row r="373" spans="1:19" ht="15" x14ac:dyDescent="0.2">
      <c r="B373" s="245"/>
      <c r="D373" s="421"/>
      <c r="E373" s="421"/>
      <c r="F373" s="421"/>
      <c r="G373" s="421"/>
      <c r="H373" s="421"/>
      <c r="I373" s="421"/>
      <c r="J373" s="421"/>
      <c r="K373" s="421"/>
      <c r="L373" s="421"/>
      <c r="M373" s="421"/>
    </row>
    <row r="374" spans="1:19" ht="14.25" customHeight="1" x14ac:dyDescent="0.2">
      <c r="A374" s="585" t="str">
        <f>IF('Atos Serv. Jud. Lei. 6369'!$H$9="","NOME",('Atos Serv. Jud. Lei. 6369'!$H$9))</f>
        <v>NOME</v>
      </c>
      <c r="B374" s="585"/>
      <c r="C374" s="585"/>
      <c r="D374" s="585"/>
      <c r="E374" s="585"/>
      <c r="F374" s="585"/>
      <c r="G374" s="585"/>
      <c r="H374" s="585"/>
      <c r="I374" s="585"/>
      <c r="J374" s="585"/>
      <c r="K374" s="585"/>
      <c r="L374" s="420"/>
      <c r="M374" s="420"/>
    </row>
    <row r="375" spans="1:19" ht="14.25" customHeight="1" x14ac:dyDescent="0.2">
      <c r="A375" s="585" t="str">
        <f>IF('Atos Serv. Jud. Lei. 6369'!$H$11="","MATRÍCULA",'Atos Serv. Jud. Lei. 6369'!$H$11)</f>
        <v>MATRÍCULA</v>
      </c>
      <c r="B375" s="585"/>
      <c r="C375" s="585"/>
      <c r="D375" s="585"/>
      <c r="E375" s="585"/>
      <c r="F375" s="585"/>
      <c r="G375" s="585"/>
      <c r="H375" s="585"/>
      <c r="I375" s="585"/>
      <c r="J375" s="585"/>
      <c r="K375" s="585"/>
      <c r="L375" s="485"/>
      <c r="M375" s="485"/>
    </row>
    <row r="376" spans="1:19" ht="14.25" customHeight="1" x14ac:dyDescent="0.2">
      <c r="A376" s="485"/>
      <c r="B376" s="485"/>
      <c r="C376" s="485"/>
      <c r="D376" s="485"/>
      <c r="E376" s="485"/>
      <c r="F376" s="485"/>
      <c r="G376" s="485"/>
      <c r="H376" s="485"/>
      <c r="I376" s="485"/>
      <c r="J376" s="485"/>
      <c r="K376" s="485"/>
      <c r="L376" s="485"/>
      <c r="M376" s="485"/>
    </row>
    <row r="377" spans="1:19" ht="15" x14ac:dyDescent="0.2">
      <c r="A377" s="596"/>
      <c r="B377" s="596"/>
      <c r="C377" s="596"/>
      <c r="D377" s="596"/>
      <c r="E377" s="596"/>
      <c r="F377" s="596"/>
      <c r="G377" s="596"/>
      <c r="H377" s="596"/>
      <c r="I377" s="596"/>
      <c r="J377" s="596"/>
      <c r="K377" s="596"/>
      <c r="L377" s="596"/>
      <c r="M377" s="596"/>
      <c r="N377" s="596"/>
      <c r="O377" s="596"/>
      <c r="P377" s="596"/>
      <c r="Q377" s="596"/>
      <c r="R377" s="596"/>
    </row>
    <row r="65561" ht="15" x14ac:dyDescent="0.2"/>
  </sheetData>
  <mergeCells count="474">
    <mergeCell ref="A377:R377"/>
    <mergeCell ref="D106:G106"/>
    <mergeCell ref="H106:J106"/>
    <mergeCell ref="D44:G44"/>
    <mergeCell ref="H44:J44"/>
    <mergeCell ref="D43:G43"/>
    <mergeCell ref="H43:J43"/>
    <mergeCell ref="D357:G357"/>
    <mergeCell ref="H357:J357"/>
    <mergeCell ref="D294:G294"/>
    <mergeCell ref="H294:J294"/>
    <mergeCell ref="D105:G105"/>
    <mergeCell ref="H105:J105"/>
    <mergeCell ref="D168:G168"/>
    <mergeCell ref="H168:J168"/>
    <mergeCell ref="D231:G231"/>
    <mergeCell ref="H231:J231"/>
    <mergeCell ref="D353:G353"/>
    <mergeCell ref="H353:J353"/>
    <mergeCell ref="D354:G354"/>
    <mergeCell ref="H354:J354"/>
    <mergeCell ref="D355:G355"/>
    <mergeCell ref="H355:J355"/>
    <mergeCell ref="D350:G350"/>
    <mergeCell ref="D364:G364"/>
    <mergeCell ref="H364:J364"/>
    <mergeCell ref="D365:G365"/>
    <mergeCell ref="H365:J365"/>
    <mergeCell ref="D366:G366"/>
    <mergeCell ref="H366:J366"/>
    <mergeCell ref="D356:G356"/>
    <mergeCell ref="H356:J356"/>
    <mergeCell ref="D359:G359"/>
    <mergeCell ref="H359:J359"/>
    <mergeCell ref="D361:K361"/>
    <mergeCell ref="D363:G363"/>
    <mergeCell ref="H363:J363"/>
    <mergeCell ref="D358:G358"/>
    <mergeCell ref="H358:J358"/>
    <mergeCell ref="C371:J371"/>
    <mergeCell ref="A374:K374"/>
    <mergeCell ref="A375:K375"/>
    <mergeCell ref="D367:G367"/>
    <mergeCell ref="H367:J367"/>
    <mergeCell ref="D368:G368"/>
    <mergeCell ref="H368:J368"/>
    <mergeCell ref="D369:G369"/>
    <mergeCell ref="H369:J369"/>
    <mergeCell ref="D347:G347"/>
    <mergeCell ref="H347:J347"/>
    <mergeCell ref="D348:G348"/>
    <mergeCell ref="H348:J348"/>
    <mergeCell ref="D349:G349"/>
    <mergeCell ref="H349:J349"/>
    <mergeCell ref="D351:G351"/>
    <mergeCell ref="H351:J351"/>
    <mergeCell ref="D352:G352"/>
    <mergeCell ref="H352:J352"/>
    <mergeCell ref="H350:J350"/>
    <mergeCell ref="D344:G344"/>
    <mergeCell ref="H344:J344"/>
    <mergeCell ref="D345:G345"/>
    <mergeCell ref="H345:J345"/>
    <mergeCell ref="D346:G346"/>
    <mergeCell ref="H346:J346"/>
    <mergeCell ref="D341:G341"/>
    <mergeCell ref="H341:J341"/>
    <mergeCell ref="D342:G342"/>
    <mergeCell ref="H342:J342"/>
    <mergeCell ref="D343:G343"/>
    <mergeCell ref="H343:J343"/>
    <mergeCell ref="D338:G338"/>
    <mergeCell ref="H338:J338"/>
    <mergeCell ref="D339:G339"/>
    <mergeCell ref="H339:J339"/>
    <mergeCell ref="D340:G340"/>
    <mergeCell ref="H340:J340"/>
    <mergeCell ref="D335:G335"/>
    <mergeCell ref="H335:J335"/>
    <mergeCell ref="D336:G336"/>
    <mergeCell ref="H336:J336"/>
    <mergeCell ref="D337:G337"/>
    <mergeCell ref="H337:J337"/>
    <mergeCell ref="D332:G332"/>
    <mergeCell ref="H332:J332"/>
    <mergeCell ref="D333:G333"/>
    <mergeCell ref="H333:J333"/>
    <mergeCell ref="D334:G334"/>
    <mergeCell ref="H334:J334"/>
    <mergeCell ref="C308:J308"/>
    <mergeCell ref="A311:K311"/>
    <mergeCell ref="A312:K312"/>
    <mergeCell ref="A325:K325"/>
    <mergeCell ref="B329:C329"/>
    <mergeCell ref="D331:G331"/>
    <mergeCell ref="H331:J331"/>
    <mergeCell ref="A314:R314"/>
    <mergeCell ref="D304:G304"/>
    <mergeCell ref="H304:J304"/>
    <mergeCell ref="D305:G305"/>
    <mergeCell ref="H305:J305"/>
    <mergeCell ref="D306:G306"/>
    <mergeCell ref="H306:J306"/>
    <mergeCell ref="D301:G301"/>
    <mergeCell ref="H301:J301"/>
    <mergeCell ref="D302:G302"/>
    <mergeCell ref="H302:J302"/>
    <mergeCell ref="D303:G303"/>
    <mergeCell ref="H303:J303"/>
    <mergeCell ref="D293:G293"/>
    <mergeCell ref="H293:J293"/>
    <mergeCell ref="D296:G296"/>
    <mergeCell ref="H296:J296"/>
    <mergeCell ref="D298:K298"/>
    <mergeCell ref="D300:G300"/>
    <mergeCell ref="H300:J300"/>
    <mergeCell ref="D295:G295"/>
    <mergeCell ref="H295:J295"/>
    <mergeCell ref="D290:G290"/>
    <mergeCell ref="H290:J290"/>
    <mergeCell ref="D291:G291"/>
    <mergeCell ref="H291:J291"/>
    <mergeCell ref="D292:G292"/>
    <mergeCell ref="H292:J292"/>
    <mergeCell ref="D287:G287"/>
    <mergeCell ref="H287:J287"/>
    <mergeCell ref="D288:G288"/>
    <mergeCell ref="H288:J288"/>
    <mergeCell ref="D289:G289"/>
    <mergeCell ref="H289:J289"/>
    <mergeCell ref="D284:G284"/>
    <mergeCell ref="H284:J284"/>
    <mergeCell ref="D285:G285"/>
    <mergeCell ref="H285:J285"/>
    <mergeCell ref="D286:G286"/>
    <mergeCell ref="H286:J286"/>
    <mergeCell ref="D281:G281"/>
    <mergeCell ref="H281:J281"/>
    <mergeCell ref="D282:G282"/>
    <mergeCell ref="H282:J282"/>
    <mergeCell ref="D283:G283"/>
    <mergeCell ref="H283:J283"/>
    <mergeCell ref="D278:G278"/>
    <mergeCell ref="H278:J278"/>
    <mergeCell ref="D279:G279"/>
    <mergeCell ref="H279:J279"/>
    <mergeCell ref="D280:G280"/>
    <mergeCell ref="H280:J280"/>
    <mergeCell ref="D275:G275"/>
    <mergeCell ref="H275:J275"/>
    <mergeCell ref="D276:G276"/>
    <mergeCell ref="H276:J276"/>
    <mergeCell ref="D277:G277"/>
    <mergeCell ref="H277:J277"/>
    <mergeCell ref="D272:G272"/>
    <mergeCell ref="H272:J272"/>
    <mergeCell ref="D273:G273"/>
    <mergeCell ref="H273:J273"/>
    <mergeCell ref="D274:G274"/>
    <mergeCell ref="H274:J274"/>
    <mergeCell ref="D269:G269"/>
    <mergeCell ref="H269:J269"/>
    <mergeCell ref="D270:G270"/>
    <mergeCell ref="H270:J270"/>
    <mergeCell ref="D271:G271"/>
    <mergeCell ref="H271:J271"/>
    <mergeCell ref="C245:J245"/>
    <mergeCell ref="A248:K248"/>
    <mergeCell ref="A249:K249"/>
    <mergeCell ref="A262:K262"/>
    <mergeCell ref="B266:C266"/>
    <mergeCell ref="D268:G268"/>
    <mergeCell ref="H268:J268"/>
    <mergeCell ref="D241:G241"/>
    <mergeCell ref="H241:J241"/>
    <mergeCell ref="D242:G242"/>
    <mergeCell ref="H242:J242"/>
    <mergeCell ref="D243:G243"/>
    <mergeCell ref="H243:J243"/>
    <mergeCell ref="A251:R251"/>
    <mergeCell ref="D238:G238"/>
    <mergeCell ref="H238:J238"/>
    <mergeCell ref="D239:G239"/>
    <mergeCell ref="H239:J239"/>
    <mergeCell ref="D240:G240"/>
    <mergeCell ref="H240:J240"/>
    <mergeCell ref="D230:G230"/>
    <mergeCell ref="H230:J230"/>
    <mergeCell ref="D233:G233"/>
    <mergeCell ref="H233:J233"/>
    <mergeCell ref="D235:K235"/>
    <mergeCell ref="D237:G237"/>
    <mergeCell ref="H237:J237"/>
    <mergeCell ref="D232:G232"/>
    <mergeCell ref="H232:J232"/>
    <mergeCell ref="D227:G227"/>
    <mergeCell ref="H227:J227"/>
    <mergeCell ref="D228:G228"/>
    <mergeCell ref="H228:J228"/>
    <mergeCell ref="D229:G229"/>
    <mergeCell ref="H229:J229"/>
    <mergeCell ref="D224:G224"/>
    <mergeCell ref="H224:J224"/>
    <mergeCell ref="D225:G225"/>
    <mergeCell ref="H225:J225"/>
    <mergeCell ref="D226:G226"/>
    <mergeCell ref="H226:J226"/>
    <mergeCell ref="D221:G221"/>
    <mergeCell ref="H221:J221"/>
    <mergeCell ref="D222:G222"/>
    <mergeCell ref="H222:J222"/>
    <mergeCell ref="D223:G223"/>
    <mergeCell ref="H223:J223"/>
    <mergeCell ref="D218:G218"/>
    <mergeCell ref="H218:J218"/>
    <mergeCell ref="D219:G219"/>
    <mergeCell ref="H219:J219"/>
    <mergeCell ref="D220:G220"/>
    <mergeCell ref="H220:J220"/>
    <mergeCell ref="D215:G215"/>
    <mergeCell ref="H215:J215"/>
    <mergeCell ref="D216:G216"/>
    <mergeCell ref="H216:J216"/>
    <mergeCell ref="D217:G217"/>
    <mergeCell ref="H217:J217"/>
    <mergeCell ref="D212:G212"/>
    <mergeCell ref="H212:J212"/>
    <mergeCell ref="D213:G213"/>
    <mergeCell ref="H213:J213"/>
    <mergeCell ref="D214:G214"/>
    <mergeCell ref="H214:J214"/>
    <mergeCell ref="D209:G209"/>
    <mergeCell ref="H209:J209"/>
    <mergeCell ref="D210:G210"/>
    <mergeCell ref="H210:J210"/>
    <mergeCell ref="D211:G211"/>
    <mergeCell ref="H211:J211"/>
    <mergeCell ref="D206:G206"/>
    <mergeCell ref="H206:J206"/>
    <mergeCell ref="D207:G207"/>
    <mergeCell ref="H207:J207"/>
    <mergeCell ref="D208:G208"/>
    <mergeCell ref="H208:J208"/>
    <mergeCell ref="C182:J182"/>
    <mergeCell ref="A185:K185"/>
    <mergeCell ref="A186:K186"/>
    <mergeCell ref="A199:K199"/>
    <mergeCell ref="B203:C203"/>
    <mergeCell ref="D205:G205"/>
    <mergeCell ref="H205:J205"/>
    <mergeCell ref="D178:G178"/>
    <mergeCell ref="H178:J178"/>
    <mergeCell ref="D179:G179"/>
    <mergeCell ref="H179:J179"/>
    <mergeCell ref="D180:G180"/>
    <mergeCell ref="H180:J180"/>
    <mergeCell ref="A188:R188"/>
    <mergeCell ref="D175:G175"/>
    <mergeCell ref="H175:J175"/>
    <mergeCell ref="D176:G176"/>
    <mergeCell ref="H176:J176"/>
    <mergeCell ref="D177:G177"/>
    <mergeCell ref="H177:J177"/>
    <mergeCell ref="D167:G167"/>
    <mergeCell ref="H167:J167"/>
    <mergeCell ref="D170:G170"/>
    <mergeCell ref="H170:J170"/>
    <mergeCell ref="D172:K172"/>
    <mergeCell ref="D174:G174"/>
    <mergeCell ref="H174:J174"/>
    <mergeCell ref="D169:G169"/>
    <mergeCell ref="H169:J169"/>
    <mergeCell ref="D164:G164"/>
    <mergeCell ref="H164:J164"/>
    <mergeCell ref="D165:G165"/>
    <mergeCell ref="H165:J165"/>
    <mergeCell ref="D166:G166"/>
    <mergeCell ref="H166:J166"/>
    <mergeCell ref="D161:G161"/>
    <mergeCell ref="H161:J161"/>
    <mergeCell ref="D162:G162"/>
    <mergeCell ref="H162:J162"/>
    <mergeCell ref="D163:G163"/>
    <mergeCell ref="H163:J163"/>
    <mergeCell ref="D158:G158"/>
    <mergeCell ref="H158:J158"/>
    <mergeCell ref="D159:G159"/>
    <mergeCell ref="H159:J159"/>
    <mergeCell ref="D160:G160"/>
    <mergeCell ref="H160:J160"/>
    <mergeCell ref="D155:G155"/>
    <mergeCell ref="H155:J155"/>
    <mergeCell ref="D156:G156"/>
    <mergeCell ref="H156:J156"/>
    <mergeCell ref="D157:G157"/>
    <mergeCell ref="H157:J157"/>
    <mergeCell ref="D152:G152"/>
    <mergeCell ref="H152:J152"/>
    <mergeCell ref="D153:G153"/>
    <mergeCell ref="H153:J153"/>
    <mergeCell ref="D154:G154"/>
    <mergeCell ref="H154:J154"/>
    <mergeCell ref="D149:G149"/>
    <mergeCell ref="H149:J149"/>
    <mergeCell ref="D150:G150"/>
    <mergeCell ref="H150:J150"/>
    <mergeCell ref="D151:G151"/>
    <mergeCell ref="H151:J151"/>
    <mergeCell ref="D146:G146"/>
    <mergeCell ref="H146:J146"/>
    <mergeCell ref="D147:G147"/>
    <mergeCell ref="H147:J147"/>
    <mergeCell ref="D148:G148"/>
    <mergeCell ref="H148:J148"/>
    <mergeCell ref="D143:G143"/>
    <mergeCell ref="H143:J143"/>
    <mergeCell ref="D144:G144"/>
    <mergeCell ref="H144:J144"/>
    <mergeCell ref="D145:G145"/>
    <mergeCell ref="H145:J145"/>
    <mergeCell ref="A123:K123"/>
    <mergeCell ref="A136:K136"/>
    <mergeCell ref="B140:C140"/>
    <mergeCell ref="D142:G142"/>
    <mergeCell ref="H142:J142"/>
    <mergeCell ref="D116:G116"/>
    <mergeCell ref="H116:J116"/>
    <mergeCell ref="D117:G117"/>
    <mergeCell ref="H117:J117"/>
    <mergeCell ref="C119:J119"/>
    <mergeCell ref="A122:K122"/>
    <mergeCell ref="A125:R125"/>
    <mergeCell ref="D113:G113"/>
    <mergeCell ref="H113:J113"/>
    <mergeCell ref="D114:G114"/>
    <mergeCell ref="H114:J114"/>
    <mergeCell ref="D115:G115"/>
    <mergeCell ref="H115:J115"/>
    <mergeCell ref="D107:G107"/>
    <mergeCell ref="H107:J107"/>
    <mergeCell ref="D109:K109"/>
    <mergeCell ref="D111:G111"/>
    <mergeCell ref="H111:J111"/>
    <mergeCell ref="D112:G112"/>
    <mergeCell ref="H112:J112"/>
    <mergeCell ref="D102:G102"/>
    <mergeCell ref="H102:J102"/>
    <mergeCell ref="D103:G103"/>
    <mergeCell ref="H103:J103"/>
    <mergeCell ref="D104:G104"/>
    <mergeCell ref="H104:J104"/>
    <mergeCell ref="D99:G99"/>
    <mergeCell ref="H99:J99"/>
    <mergeCell ref="D100:G100"/>
    <mergeCell ref="H100:J100"/>
    <mergeCell ref="D101:G101"/>
    <mergeCell ref="H101:J101"/>
    <mergeCell ref="D96:G96"/>
    <mergeCell ref="H96:J96"/>
    <mergeCell ref="D97:G97"/>
    <mergeCell ref="H97:J97"/>
    <mergeCell ref="D98:G98"/>
    <mergeCell ref="H98:J98"/>
    <mergeCell ref="D93:G93"/>
    <mergeCell ref="H93:J93"/>
    <mergeCell ref="D94:G94"/>
    <mergeCell ref="H94:J94"/>
    <mergeCell ref="D95:G95"/>
    <mergeCell ref="H95:J95"/>
    <mergeCell ref="D90:G90"/>
    <mergeCell ref="H90:J90"/>
    <mergeCell ref="D91:G91"/>
    <mergeCell ref="H91:J91"/>
    <mergeCell ref="D92:G92"/>
    <mergeCell ref="H92:J92"/>
    <mergeCell ref="D87:G87"/>
    <mergeCell ref="H87:J87"/>
    <mergeCell ref="D88:G88"/>
    <mergeCell ref="H88:J88"/>
    <mergeCell ref="D89:G89"/>
    <mergeCell ref="H89:J89"/>
    <mergeCell ref="D84:G84"/>
    <mergeCell ref="H84:J84"/>
    <mergeCell ref="D85:G85"/>
    <mergeCell ref="H85:J85"/>
    <mergeCell ref="D86:G86"/>
    <mergeCell ref="H86:J86"/>
    <mergeCell ref="D81:G81"/>
    <mergeCell ref="H81:J81"/>
    <mergeCell ref="D82:G82"/>
    <mergeCell ref="H82:J82"/>
    <mergeCell ref="D83:G83"/>
    <mergeCell ref="H83:J83"/>
    <mergeCell ref="A60:K60"/>
    <mergeCell ref="A73:K73"/>
    <mergeCell ref="B77:C77"/>
    <mergeCell ref="D79:G79"/>
    <mergeCell ref="H79:J79"/>
    <mergeCell ref="D80:G80"/>
    <mergeCell ref="H80:J80"/>
    <mergeCell ref="D54:G54"/>
    <mergeCell ref="H54:J54"/>
    <mergeCell ref="D55:G55"/>
    <mergeCell ref="H55:J55"/>
    <mergeCell ref="C57:J57"/>
    <mergeCell ref="A62:R62"/>
    <mergeCell ref="A59:R59"/>
    <mergeCell ref="D51:G51"/>
    <mergeCell ref="H51:J51"/>
    <mergeCell ref="D52:G52"/>
    <mergeCell ref="H52:J52"/>
    <mergeCell ref="D53:G53"/>
    <mergeCell ref="H53:J53"/>
    <mergeCell ref="D45:G45"/>
    <mergeCell ref="H45:J45"/>
    <mergeCell ref="D47:K47"/>
    <mergeCell ref="D49:G49"/>
    <mergeCell ref="H49:J49"/>
    <mergeCell ref="D50:G50"/>
    <mergeCell ref="H50:J50"/>
    <mergeCell ref="D40:G40"/>
    <mergeCell ref="H40:J40"/>
    <mergeCell ref="D41:G41"/>
    <mergeCell ref="H41:J41"/>
    <mergeCell ref="D42:G42"/>
    <mergeCell ref="H42:J42"/>
    <mergeCell ref="D37:G37"/>
    <mergeCell ref="H37:J37"/>
    <mergeCell ref="D38:G38"/>
    <mergeCell ref="H38:J38"/>
    <mergeCell ref="D39:G39"/>
    <mergeCell ref="H39:J39"/>
    <mergeCell ref="D34:G34"/>
    <mergeCell ref="H34:J34"/>
    <mergeCell ref="D35:G35"/>
    <mergeCell ref="H35:J35"/>
    <mergeCell ref="D36:G36"/>
    <mergeCell ref="H36:J36"/>
    <mergeCell ref="D31:G31"/>
    <mergeCell ref="H31:J31"/>
    <mergeCell ref="D32:G32"/>
    <mergeCell ref="H32:J32"/>
    <mergeCell ref="D33:G33"/>
    <mergeCell ref="H33:J33"/>
    <mergeCell ref="D29:G29"/>
    <mergeCell ref="H29:J29"/>
    <mergeCell ref="D30:G30"/>
    <mergeCell ref="H30:J30"/>
    <mergeCell ref="D25:G25"/>
    <mergeCell ref="H25:J25"/>
    <mergeCell ref="D26:G26"/>
    <mergeCell ref="H26:J26"/>
    <mergeCell ref="D27:G27"/>
    <mergeCell ref="H27:J27"/>
    <mergeCell ref="A11:K11"/>
    <mergeCell ref="B15:C15"/>
    <mergeCell ref="D17:G17"/>
    <mergeCell ref="H17:J17"/>
    <mergeCell ref="D18:G18"/>
    <mergeCell ref="H18:J18"/>
    <mergeCell ref="D22:G22"/>
    <mergeCell ref="H22:J22"/>
    <mergeCell ref="D23:G23"/>
    <mergeCell ref="H23:J23"/>
    <mergeCell ref="D24:G24"/>
    <mergeCell ref="H24:J24"/>
    <mergeCell ref="D19:G19"/>
    <mergeCell ref="H19:J19"/>
    <mergeCell ref="D20:G20"/>
    <mergeCell ref="H20:J20"/>
    <mergeCell ref="D21:G21"/>
    <mergeCell ref="H21:J21"/>
    <mergeCell ref="D28:G28"/>
    <mergeCell ref="H28:J28"/>
  </mergeCells>
  <conditionalFormatting sqref="B9 B14 B25 B197 H13:L14 B71 B76 B87 H75:L76 B134 B139 B150 B202 B213 H201:L202 B260 B265 B276 H55:J55 H264:L265 H117:J118 H138:L139 H243:J244 H306:J307 H180:J181 B323 B328 B339 H327:L328 H369:J370">
    <cfRule type="cellIs" dxfId="20" priority="20" stopIfTrue="1" operator="equal">
      <formula>0</formula>
    </cfRule>
  </conditionalFormatting>
  <conditionalFormatting sqref="B24:C24 B212:C212 B86:C86 B149:C149 C213 B275:C275 C25 C276 C87 C150 B338:C338 C339">
    <cfRule type="cellIs" dxfId="19" priority="21" stopIfTrue="1" operator="equal">
      <formula>"ERRO"</formula>
    </cfRule>
  </conditionalFormatting>
  <conditionalFormatting sqref="D38:G38 D36:G36 D34:G34 D28:G32 D40:G42 D100:G100 D98:G98 D96:G96 D90:G94 D102:G104 D163:G163 D161:G161 D159:G159 D153:G157 D165:G167 D226:G226 D224:G224 D222:G222 D216:G220 D228:G230 D289:G289 D287:G287 D285:G285 D279:G283 D291:G293 D352:G352 D350:G350 D348:G348 D342:G346 D354:G356 D1:G26 D378:G65561 D316:G340 D253:G277 D190:G214 D63:G88 D45:G58 D60:G60 D126:G151 D107:G124 D170:G187 D233:G250 D296:G313 D359:G376">
    <cfRule type="cellIs" dxfId="18" priority="22" stopIfTrue="1" operator="equal">
      <formula>0</formula>
    </cfRule>
  </conditionalFormatting>
  <conditionalFormatting sqref="C27 C33 C35 C37 C39 C89 C95 C97 C99 C101 C152 C158 C160 C162 C164 C215 C221 C223 C225 C227 C278 C284 C286 C288 C290 C341 C347 C349 C351 C353">
    <cfRule type="cellIs" dxfId="17" priority="23" stopIfTrue="1" operator="equal">
      <formula>"Mais de um distribuidor marcado"</formula>
    </cfRule>
  </conditionalFormatting>
  <conditionalFormatting sqref="H27:J27 H89:J89 H152:J152 H215:J215 H278:J278 H341:J341">
    <cfRule type="cellIs" dxfId="16" priority="24" stopIfTrue="1" operator="equal">
      <formula>"ERRO"</formula>
    </cfRule>
  </conditionalFormatting>
  <conditionalFormatting sqref="D33:J33 D35:J35 D37:J37 D39:J39 D95:J95 D97:J97 D99:J99 D101:J101 D158:J158 D160:J160 D162:J162 D164:J164 D221:J221 D223:J223 D225:J225 D227:J227 D284:J284 D286:J286 D288:J288 D290:J290 D347:J347 D349:J349 D351:J351 D353:J353">
    <cfRule type="cellIs" dxfId="15" priority="25" stopIfTrue="1" operator="equal">
      <formula>0</formula>
    </cfRule>
    <cfRule type="cellIs" dxfId="14" priority="26" stopIfTrue="1" operator="equal">
      <formula>"ERRO"</formula>
    </cfRule>
  </conditionalFormatting>
  <conditionalFormatting sqref="D89:G89 D152:G152 D215:G215 D278:G278 D341:G341 D27:G27">
    <cfRule type="cellIs" dxfId="13" priority="27" stopIfTrue="1" operator="equal">
      <formula>"ERRO"</formula>
    </cfRule>
    <cfRule type="cellIs" dxfId="12" priority="28" stopIfTrue="1" operator="equal">
      <formula>0</formula>
    </cfRule>
  </conditionalFormatting>
  <conditionalFormatting sqref="D43:G43">
    <cfRule type="cellIs" dxfId="11" priority="12" stopIfTrue="1" operator="equal">
      <formula>0</formula>
    </cfRule>
  </conditionalFormatting>
  <conditionalFormatting sqref="D357:G357">
    <cfRule type="cellIs" dxfId="10" priority="7" stopIfTrue="1" operator="equal">
      <formula>0</formula>
    </cfRule>
  </conditionalFormatting>
  <conditionalFormatting sqref="D105:G105">
    <cfRule type="cellIs" dxfId="9" priority="11" stopIfTrue="1" operator="equal">
      <formula>0</formula>
    </cfRule>
  </conditionalFormatting>
  <conditionalFormatting sqref="D168:G168">
    <cfRule type="cellIs" dxfId="8" priority="10" stopIfTrue="1" operator="equal">
      <formula>0</formula>
    </cfRule>
  </conditionalFormatting>
  <conditionalFormatting sqref="D231:G231">
    <cfRule type="cellIs" dxfId="7" priority="9" stopIfTrue="1" operator="equal">
      <formula>0</formula>
    </cfRule>
  </conditionalFormatting>
  <conditionalFormatting sqref="D294:G294">
    <cfRule type="cellIs" dxfId="6" priority="8" stopIfTrue="1" operator="equal">
      <formula>0</formula>
    </cfRule>
  </conditionalFormatting>
  <conditionalFormatting sqref="D358:G358">
    <cfRule type="cellIs" dxfId="5" priority="1" stopIfTrue="1" operator="equal">
      <formula>0</formula>
    </cfRule>
  </conditionalFormatting>
  <conditionalFormatting sqref="D44:G44">
    <cfRule type="cellIs" dxfId="4" priority="6" stopIfTrue="1" operator="equal">
      <formula>0</formula>
    </cfRule>
  </conditionalFormatting>
  <conditionalFormatting sqref="D106:G106">
    <cfRule type="cellIs" dxfId="3" priority="5" stopIfTrue="1" operator="equal">
      <formula>0</formula>
    </cfRule>
  </conditionalFormatting>
  <conditionalFormatting sqref="D169:G169">
    <cfRule type="cellIs" dxfId="2" priority="4" stopIfTrue="1" operator="equal">
      <formula>0</formula>
    </cfRule>
  </conditionalFormatting>
  <conditionalFormatting sqref="D232:G232">
    <cfRule type="cellIs" dxfId="1" priority="3" stopIfTrue="1" operator="equal">
      <formula>0</formula>
    </cfRule>
  </conditionalFormatting>
  <conditionalFormatting sqref="D295:G295">
    <cfRule type="cellIs" dxfId="0" priority="2" stopIfTrue="1" operator="equal">
      <formula>0</formula>
    </cfRule>
  </conditionalFormatting>
  <printOptions horizontalCentered="1"/>
  <pageMargins left="0.31496062992125984" right="0.31496062992125984" top="0.74803149606299213" bottom="0.39370078740157483" header="0.51181102362204722" footer="0.31496062992125984"/>
  <pageSetup paperSize="9" scale="83" firstPageNumber="0" orientation="portrait" horizontalDpi="300" verticalDpi="300" r:id="rId1"/>
  <headerFooter alignWithMargins="0">
    <oddFooter>&amp;LFRM-CARQ-002-01&amp;CREV.: 00                  Data: 20/04/208&amp;R&amp;P</oddFooter>
  </headerFooter>
  <rowBreaks count="5" manualBreakCount="5">
    <brk id="62" max="17" man="1"/>
    <brk id="125" max="17" man="1"/>
    <brk id="188" max="17" man="1"/>
    <brk id="251" max="17" man="1"/>
    <brk id="314" max="17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1"/>
  <sheetViews>
    <sheetView showGridLines="0" topLeftCell="A55" zoomScaleNormal="100" workbookViewId="0">
      <selection activeCell="A272" sqref="A272"/>
    </sheetView>
  </sheetViews>
  <sheetFormatPr defaultRowHeight="12.75" x14ac:dyDescent="0.2"/>
  <cols>
    <col min="1" max="1" width="9.140625" style="139"/>
    <col min="2" max="2" width="68.7109375" style="139" customWidth="1"/>
    <col min="3" max="8" width="9.140625" style="139"/>
    <col min="9" max="9" width="15.5703125" style="139" customWidth="1"/>
    <col min="10" max="10" width="48.28515625" style="139" customWidth="1"/>
    <col min="11" max="16384" width="9.140625" style="139"/>
  </cols>
  <sheetData>
    <row r="1" spans="1:10" x14ac:dyDescent="0.2">
      <c r="A1" s="132"/>
      <c r="B1" s="132"/>
      <c r="C1" s="132"/>
      <c r="I1" s="139" t="s">
        <v>374</v>
      </c>
    </row>
    <row r="2" spans="1:10" ht="76.5" x14ac:dyDescent="0.2">
      <c r="A2" s="132"/>
      <c r="B2" s="440" t="str">
        <f>CONCATENATE("       ",I2," ",GRERJFINAL!C9,", ",J2)</f>
        <v xml:space="preserve">       Intime-se a parte , via D.J.E.R.J., para recolher as custas certificadas abaixo, segundo art. 31 da lei Estadual nº 3.350/99 (lei 6.369/2012). Havendo comprovação, dê-se baixa e arquive-se. Não havendo comprovação do recolhimento, expeça-se certidão ao FETJ. Após, arquive-se com ou sem baixa, conforme o caso."</v>
      </c>
      <c r="C2" s="132"/>
      <c r="I2" s="441" t="s">
        <v>375</v>
      </c>
      <c r="J2" s="248" t="s">
        <v>376</v>
      </c>
    </row>
    <row r="3" spans="1:10" x14ac:dyDescent="0.2">
      <c r="A3" s="199"/>
      <c r="B3" s="138" t="str">
        <f>IF(Certidão!D15="","",CONCATENATE("       Valores calculados na proporção de ",Certidão!D15,"%."))</f>
        <v/>
      </c>
      <c r="C3" s="199"/>
    </row>
    <row r="4" spans="1:10" x14ac:dyDescent="0.2">
      <c r="A4" s="132"/>
      <c r="C4" s="132"/>
    </row>
    <row r="5" spans="1:10" x14ac:dyDescent="0.2">
      <c r="A5" s="132"/>
      <c r="B5" s="249"/>
      <c r="C5" s="132"/>
    </row>
    <row r="6" spans="1:10" x14ac:dyDescent="0.2">
      <c r="A6" s="132"/>
      <c r="B6" s="139" t="str">
        <f ca="1">IF(Certidão!D18="","",CONCATENATE(Certidão!B18,"                 ",Certidão!C18,"                         ",Certidão!D18,"      ",Certidão!H18))</f>
        <v xml:space="preserve">1102-3                 Atos dos Escrivães                          0      </v>
      </c>
      <c r="C6" s="132"/>
    </row>
    <row r="7" spans="1:10" x14ac:dyDescent="0.2">
      <c r="A7" s="132"/>
      <c r="B7" s="139" t="str">
        <f ca="1">IF(Certidão!D19="","",CONCATENATE(Certidão!B19,"                 ",Certidão!C19,"       ",Certidão!D19,"       ",Certidão!H19))</f>
        <v xml:space="preserve">1104-9                 Porte de Remessa e de Retorno       0       </v>
      </c>
      <c r="C7" s="132"/>
    </row>
    <row r="8" spans="1:10" x14ac:dyDescent="0.2">
      <c r="A8" s="132"/>
      <c r="B8" s="139" t="str">
        <f ca="1">IF(Certidão!D20="","",CONCATENATE(Certidão!B20,"                 ",Certidão!C20,"               ",Certidão!D20,"      ",Certidão!H20))</f>
        <v xml:space="preserve">1111-4                 Desarquivamento de autos               0      </v>
      </c>
      <c r="C8" s="132"/>
    </row>
    <row r="9" spans="1:10" x14ac:dyDescent="0.2">
      <c r="A9" s="132"/>
      <c r="B9" s="139" t="str">
        <f ca="1">IF(Certidão!D21="","",CONCATENATE(Certidão!B21,"                 ",Certidão!C21,"                               ",Certidão!D21,"      ",Certidão!H21))</f>
        <v xml:space="preserve">1107-2                 Atos dos OJAs                               0      </v>
      </c>
      <c r="C9" s="132"/>
    </row>
    <row r="10" spans="1:10" x14ac:dyDescent="0.2">
      <c r="A10" s="132"/>
      <c r="B10" s="139" t="str">
        <f ca="1">IF(Certidão!D22="","",CONCATENATE(Certidão!B22,"                 ",Certidão!C22,"                                      ",Certidão!D22,"       ",Certidão!H22))</f>
        <v xml:space="preserve">1110-6                 Via Postal                                      0       </v>
      </c>
      <c r="C10" s="132"/>
    </row>
    <row r="11" spans="1:10" x14ac:dyDescent="0.2">
      <c r="A11" s="132"/>
      <c r="B11" s="139" t="str">
        <f ca="1">IF(Certidão!D23="","",CONCATENATE(Certidão!B23,"                 ",Certidão!C23,"            ",Certidão!D23,"    ",Certidão!H23))</f>
        <v xml:space="preserve">1109-8                 Atos dos Auxiliares do Juízo            0    </v>
      </c>
      <c r="C11" s="132"/>
    </row>
    <row r="12" spans="1:10" x14ac:dyDescent="0.2">
      <c r="A12" s="132"/>
      <c r="C12" s="132"/>
    </row>
    <row r="13" spans="1:10" x14ac:dyDescent="0.2">
      <c r="A13" s="132"/>
      <c r="B13" s="139" t="str">
        <f>IF(Certidão!D24="","",CONCATENATE(Certidão!B24,"                 ",Certidão!C24,"        ",Certidão!D24,"     ",Certidão!H24))</f>
        <v/>
      </c>
      <c r="C13" s="132"/>
    </row>
    <row r="14" spans="1:10" x14ac:dyDescent="0.2">
      <c r="A14" s="132"/>
      <c r="B14" s="139" t="str">
        <f>IF(Certidão!D25="","",CONCATENATE(Certidão!B25,"                 ",Certidão!C25,"                             ",Certidão!D25,"     ",Certidão!H25))</f>
        <v/>
      </c>
      <c r="C14" s="132"/>
    </row>
    <row r="15" spans="1:10" x14ac:dyDescent="0.2">
      <c r="A15" s="132"/>
      <c r="B15" s="139" t="str">
        <f ca="1">IF(Certidão!D26="","",CONCATENATE(Certidão!B26,"                 ",Certidão!C26,"                                 ",Certidão!D26,"     ",Certidão!H26))</f>
        <v xml:space="preserve">2001-6                 CAARJ / IAB                                 0     </v>
      </c>
      <c r="C15" s="132"/>
    </row>
    <row r="16" spans="1:10" x14ac:dyDescent="0.2">
      <c r="A16" s="132"/>
      <c r="B16" s="139" t="str">
        <f ca="1">IF(Certidão!D27="","",CONCATENATE(Certidão!B27,"    ",Certidão!C27,"                    ",Certidão!D27,"     ",Certidão!H27))</f>
        <v xml:space="preserve">    Atos dos Distribuidores                    0     </v>
      </c>
      <c r="C16" s="132"/>
    </row>
    <row r="17" spans="1:3" x14ac:dyDescent="0.2">
      <c r="A17" s="132"/>
      <c r="B17" s="139" t="str">
        <f>IF(Certidão!D28="","",CONCATENATE(Certidão!B28,"    ",Certidão!C28,"              ",Certidão!D28,"     ",Certidão!H28))</f>
        <v/>
      </c>
      <c r="C17" s="132"/>
    </row>
    <row r="18" spans="1:3" x14ac:dyDescent="0.2">
      <c r="A18" s="132"/>
      <c r="B18" s="250" t="str">
        <f ca="1">IF(Certidão!D29="","",CONCATENATE(Certidão!B29,"    ",Certidão!C29,"                                             ",Certidão!D29,"       ",Certidão!H29))</f>
        <v xml:space="preserve">6246-0088009-4    FETJ                                             0       </v>
      </c>
      <c r="C18" s="132"/>
    </row>
    <row r="19" spans="1:3" x14ac:dyDescent="0.2">
      <c r="A19" s="132"/>
      <c r="B19" s="139" t="str">
        <f ca="1">IF(Certidão!D30="","",CONCATENATE(Certidão!B30,"                 ",Certidão!C30,"                               ",Certidão!D30,"     ",Certidão!H30))</f>
        <v xml:space="preserve">2101-4                 Taxa Judiciária                               0     </v>
      </c>
      <c r="C19" s="132"/>
    </row>
    <row r="20" spans="1:3" x14ac:dyDescent="0.2">
      <c r="A20" s="132"/>
      <c r="B20" s="139" t="str">
        <f ca="1">IF(Certidão!D31="","",CONCATENATE(Certidão!B31,"    ",Certidão!C31,"                                      ",Certidão!D31,"        ",Certidão!H31))</f>
        <v xml:space="preserve">6898-0000208-9    FUNPERJ                                      0        </v>
      </c>
      <c r="C20" s="132"/>
    </row>
    <row r="21" spans="1:3" x14ac:dyDescent="0.2">
      <c r="A21" s="132"/>
      <c r="B21" s="139" t="str">
        <f ca="1">IF(Certidão!D32="","",CONCATENATE(Certidão!B32,"    ",Certidão!C32,"                                   ",Certidão!D32,"       ",Certidão!H32))</f>
        <v xml:space="preserve">6898-0000215-1    FUNDPERJ                                   0       </v>
      </c>
      <c r="C21" s="132"/>
    </row>
    <row r="22" spans="1:3" x14ac:dyDescent="0.2">
      <c r="A22" s="132"/>
      <c r="B22" s="139" t="str">
        <f ca="1">IF(Certidão!D33="","",CONCATENATE(Certidão!B33,"    ",Certidão!C33,"                  ",Certidão!D33,"       ",Certidão!H33))</f>
        <v xml:space="preserve">                      0       </v>
      </c>
      <c r="C22" s="132"/>
    </row>
    <row r="23" spans="1:3" x14ac:dyDescent="0.2">
      <c r="A23" s="132"/>
      <c r="B23" s="139" t="str">
        <f>IF(Certidão!D34="","",CONCATENATE(Certidão!B34,"    ",Certidão!C34,"              ",Certidão!D34,"       ",Certidão!H34))</f>
        <v/>
      </c>
      <c r="C23" s="132"/>
    </row>
    <row r="24" spans="1:3" x14ac:dyDescent="0.2">
      <c r="A24" s="132"/>
      <c r="B24" s="139" t="str">
        <f ca="1">IF(Certidão!D35="","",CONCATENATE(Certidão!B35,"    ",Certidão!C35,"                   ",Certidão!D35,"       ",Certidão!H35))</f>
        <v xml:space="preserve">                       0       </v>
      </c>
      <c r="C24" s="132"/>
    </row>
    <row r="25" spans="1:3" x14ac:dyDescent="0.2">
      <c r="A25" s="132"/>
      <c r="B25" s="139" t="str">
        <f>IF(Certidão!D36="","",CONCATENATE(Certidão!B36,"    ",Certidão!C36,"              ",Certidão!D36,"       ",Certidão!H36))</f>
        <v/>
      </c>
      <c r="C25" s="132"/>
    </row>
    <row r="26" spans="1:3" x14ac:dyDescent="0.2">
      <c r="A26" s="132"/>
      <c r="B26" s="139" t="str">
        <f ca="1">IF(Certidão!D37="","",CONCATENATE(Certidão!B37,"    ",Certidão!C37,"                   ",Certidão!D37,"      ",Certidão!H37))</f>
        <v xml:space="preserve">                       0      </v>
      </c>
      <c r="C26" s="132"/>
    </row>
    <row r="27" spans="1:3" x14ac:dyDescent="0.2">
      <c r="A27" s="132"/>
      <c r="B27" s="139" t="str">
        <f>IF(Certidão!D38="","",CONCATENATE(Certidão!B38,"    ",Certidão!C38,"              ",Certidão!D38,"      ",Certidão!H38))</f>
        <v/>
      </c>
      <c r="C27" s="132"/>
    </row>
    <row r="28" spans="1:3" x14ac:dyDescent="0.2">
      <c r="A28" s="132"/>
      <c r="B28" s="139" t="str">
        <f ca="1">IF(Certidão!D39="","",CONCATENATE(Certidão!B39,"    ",Certidão!C39,"                   ",Certidão!D39,"      ",Certidão!H39))</f>
        <v xml:space="preserve">                       0      </v>
      </c>
      <c r="C28" s="132"/>
    </row>
    <row r="29" spans="1:3" x14ac:dyDescent="0.2">
      <c r="A29" s="132"/>
      <c r="B29" s="139" t="str">
        <f>IF(Certidão!D40="","",CONCATENATE(Certidão!B40,"    ",Certidão!C40,"              ",Certidão!D40,"      ",Certidão!H40))</f>
        <v/>
      </c>
      <c r="C29" s="132"/>
    </row>
    <row r="30" spans="1:3" x14ac:dyDescent="0.2">
      <c r="A30" s="132"/>
      <c r="B30" s="139" t="str">
        <f ca="1">IF(Certidão!D41="","",CONCATENATE(Certidão!B41,"                ",Certidão!C41,"         ",Certidão!D41,"        ",Certidão!H41))</f>
        <v xml:space="preserve">                         0        </v>
      </c>
      <c r="C30" s="132"/>
    </row>
    <row r="31" spans="1:3" x14ac:dyDescent="0.2">
      <c r="A31" s="132"/>
      <c r="B31" s="139" t="str">
        <f ca="1">IF(Certidão!D42="","",CONCATENATE(Certidão!B42,"                ",Certidão!C42,"           ",Certidão!D42,"      ",Certidão!H42))</f>
        <v xml:space="preserve">                           0      </v>
      </c>
      <c r="C31" s="132"/>
    </row>
    <row r="32" spans="1:3" x14ac:dyDescent="0.2">
      <c r="A32" s="132"/>
      <c r="B32" s="139" t="str">
        <f ca="1">IF(Certidão!D43="","",CONCATENATE(Certidão!B43,"                ",Certidão!C43,"          ",Certidão!D43,"      ",Certidão!H43))</f>
        <v xml:space="preserve">                          0      </v>
      </c>
      <c r="C32" s="132"/>
    </row>
    <row r="33" spans="1:3" x14ac:dyDescent="0.2">
      <c r="A33" s="132"/>
      <c r="B33" s="139" t="str">
        <f ca="1">IF(Certidão!D44="","",CONCATENATE(Certidão!B44,"                ",Certidão!C44,"          ",Certidão!D44,"      ",Certidão!H44))</f>
        <v xml:space="preserve">                          0      </v>
      </c>
      <c r="C33" s="132"/>
    </row>
    <row r="34" spans="1:3" x14ac:dyDescent="0.2">
      <c r="A34" s="132"/>
      <c r="C34" s="132"/>
    </row>
    <row r="35" spans="1:3" x14ac:dyDescent="0.2">
      <c r="A35" s="132"/>
      <c r="B35" s="139" t="str">
        <f ca="1">IF(Certidão!D45="","",CONCATENATE(Certidão!B45,"    ",Certidão!C45,"     ",Certidão!D45,"      ",Certidão!H45))</f>
        <v xml:space="preserve">    VALOR DEVIDO     0      </v>
      </c>
      <c r="C35" s="132"/>
    </row>
    <row r="36" spans="1:3" x14ac:dyDescent="0.2">
      <c r="A36" s="132"/>
      <c r="C36" s="132"/>
    </row>
    <row r="37" spans="1:3" x14ac:dyDescent="0.2">
      <c r="A37" s="132"/>
      <c r="B37" s="139" t="str">
        <f ca="1">IF(Certidão!D55="","",CONCATENATE(Certidão!B47,"    ",Certidão!C47))</f>
        <v>Observação:     GRERJ 2ª Instância</v>
      </c>
      <c r="C37" s="132"/>
    </row>
    <row r="38" spans="1:3" x14ac:dyDescent="0.2">
      <c r="A38" s="132"/>
      <c r="C38" s="132"/>
    </row>
    <row r="39" spans="1:3" x14ac:dyDescent="0.2">
      <c r="A39" s="132"/>
      <c r="B39" s="139" t="str">
        <f ca="1">IF(Certidão!D50="","",CONCATENATE(Certidão!B50,"                 ",Certidão!C50,"       ",Certidão!D50,"      ",Certidão!H50))</f>
        <v xml:space="preserve">1101-5                 Atos da Secretaria do Tribunal       0      </v>
      </c>
      <c r="C39" s="132"/>
    </row>
    <row r="40" spans="1:3" x14ac:dyDescent="0.2">
      <c r="A40" s="132"/>
      <c r="B40" s="139" t="str">
        <f ca="1">IF(Certidão!D51="","",CONCATENATE(Certidão!B51,"                 ",Certidão!C51,"    ",Certidão!D51,"      ",Certidão!H51))</f>
        <v xml:space="preserve">1104-9                 Porte de Remessa e de Retorno    0      </v>
      </c>
      <c r="C40" s="132"/>
    </row>
    <row r="41" spans="1:3" x14ac:dyDescent="0.2">
      <c r="A41" s="132"/>
      <c r="B41" s="139" t="str">
        <f ca="1">IF(Certidão!D52="","",CONCATENATE(Certidão!B52,"                 ",Certidão!C52,"                                ",Certidão!D52,"      ",Certidão!H52))</f>
        <v xml:space="preserve">2001-6                 CAARJ / IAB                                0      </v>
      </c>
      <c r="C41" s="132"/>
    </row>
    <row r="42" spans="1:3" x14ac:dyDescent="0.2">
      <c r="A42" s="132"/>
      <c r="B42" s="139" t="str">
        <f ca="1">IF(Certidão!D53="","",CONCATENATE(Certidão!B53,"    ",Certidão!C53,"                                    ",Certidão!D53,"      ",Certidão!H53))</f>
        <v xml:space="preserve">6898-0000208-9    FUNPERJ                                    0      </v>
      </c>
      <c r="C42" s="132"/>
    </row>
    <row r="43" spans="1:3" x14ac:dyDescent="0.2">
      <c r="A43" s="132"/>
      <c r="B43" s="139" t="str">
        <f ca="1">IF(Certidão!D54="","",CONCATENATE(Certidão!B54,"    ",Certidão!C54,"                                  ",Certidão!D54,"      ",Certidão!H54))</f>
        <v xml:space="preserve">6898-0000215-1    FUNDPERJ                                  0      </v>
      </c>
      <c r="C43" s="132"/>
    </row>
    <row r="44" spans="1:3" x14ac:dyDescent="0.2">
      <c r="A44" s="132"/>
      <c r="C44" s="132"/>
    </row>
    <row r="45" spans="1:3" x14ac:dyDescent="0.2">
      <c r="A45" s="132"/>
      <c r="B45" s="139" t="str">
        <f ca="1">IF(Certidão!D55="","",CONCATENATE(Certidão!B55,"    ",Certidão!C55,"     ",Certidão!D55,"      ",Certidão!H55))</f>
        <v xml:space="preserve">    VALOR DEVIDO     0      </v>
      </c>
      <c r="C45" s="132"/>
    </row>
    <row r="46" spans="1:3" x14ac:dyDescent="0.2">
      <c r="A46" s="132"/>
      <c r="B46" s="132"/>
      <c r="C46" s="132"/>
    </row>
    <row r="47" spans="1:3" x14ac:dyDescent="0.2">
      <c r="A47" s="132"/>
      <c r="B47" s="132"/>
      <c r="C47" s="132"/>
    </row>
    <row r="48" spans="1:3" ht="63.75" x14ac:dyDescent="0.2">
      <c r="A48" s="132"/>
      <c r="B48" s="440" t="str">
        <f>CONCATENATE("       ",I2," ",GRERJFINAL!C11,", ",J2)</f>
        <v xml:space="preserve">       Intime-se a parte , via D.J.E.R.J., para recolher as custas certificadas abaixo, segundo art. 31 da lei Estadual nº 3.350/99 (lei 6.369/2012). Havendo comprovação, dê-se baixa e arquive-se. Não havendo comprovação do recolhimento, expeça-se certidão ao FETJ. Após, arquive-se com ou sem baixa, conforme o caso."</v>
      </c>
      <c r="C48" s="132"/>
    </row>
    <row r="49" spans="1:3" x14ac:dyDescent="0.2">
      <c r="A49" s="132"/>
      <c r="B49" s="139" t="str">
        <f>IF(Certidão!D77="","",CONCATENATE("       Valores calculados na proporção de ",Certidão!D77,"%."))</f>
        <v/>
      </c>
      <c r="C49" s="132"/>
    </row>
    <row r="50" spans="1:3" x14ac:dyDescent="0.2">
      <c r="A50" s="132"/>
      <c r="C50" s="132"/>
    </row>
    <row r="51" spans="1:3" x14ac:dyDescent="0.2">
      <c r="A51" s="132"/>
      <c r="B51" s="251"/>
      <c r="C51" s="132"/>
    </row>
    <row r="52" spans="1:3" x14ac:dyDescent="0.2">
      <c r="A52" s="132"/>
      <c r="B52" s="139" t="str">
        <f ca="1">IF(Certidão!D80="","",CONCATENATE(Certidão!B80,"                 ",Certidão!C80,"                        ",Certidão!D80,"      ",Certidão!H80))</f>
        <v xml:space="preserve">1102-3                 Atos dos Escrivães                         0      </v>
      </c>
      <c r="C52" s="132"/>
    </row>
    <row r="53" spans="1:3" x14ac:dyDescent="0.2">
      <c r="A53" s="132"/>
      <c r="B53" s="139" t="str">
        <f ca="1">IF(Certidão!D81="","",CONCATENATE(Certidão!B81,"                 ",Certidão!C81,"         ",Certidão!D81,"      ",Certidão!H81))</f>
        <v xml:space="preserve">1104-9                 Porte de Remessa e de Retorno         0      </v>
      </c>
      <c r="C53" s="132"/>
    </row>
    <row r="54" spans="1:3" x14ac:dyDescent="0.2">
      <c r="A54" s="132"/>
      <c r="B54" s="139" t="str">
        <f ca="1">IF(Certidão!D82="","",CONCATENATE(Certidão!B82,"                 ",Certidão!C82,"                 ",Certidão!D82,"      ",Certidão!H82))</f>
        <v xml:space="preserve">1111-4                 Desarquivamento de autos                 0      </v>
      </c>
      <c r="C54" s="132"/>
    </row>
    <row r="55" spans="1:3" x14ac:dyDescent="0.2">
      <c r="A55" s="132"/>
      <c r="B55" s="139" t="str">
        <f ca="1">IF(Certidão!D83="","",CONCATENATE(Certidão!B83,"                 ",Certidão!C83,"                                 ",Certidão!D83,"      ",Certidão!H83))</f>
        <v xml:space="preserve">1107-2                 Atos dos OJAs                                 0      </v>
      </c>
      <c r="C55" s="132"/>
    </row>
    <row r="56" spans="1:3" x14ac:dyDescent="0.2">
      <c r="A56" s="132"/>
      <c r="B56" s="139" t="str">
        <f ca="1">IF(Certidão!D84="","",CONCATENATE(Certidão!B84,"                 ",Certidão!C84,"                                        ",Certidão!D84,"      ",Certidão!H84))</f>
        <v xml:space="preserve">1110-6                 Via Postal                                        0      </v>
      </c>
      <c r="C56" s="132"/>
    </row>
    <row r="57" spans="1:3" x14ac:dyDescent="0.2">
      <c r="A57" s="132"/>
      <c r="B57" s="139" t="str">
        <f ca="1">IF(Certidão!D85="","",CONCATENATE(Certidão!B85,"                 ",Certidão!C85,"              ",Certidão!D85,"      ",Certidão!H85))</f>
        <v xml:space="preserve">1109-8                 Atos dos Auxiliares do Juízo              0      </v>
      </c>
      <c r="C57" s="132"/>
    </row>
    <row r="58" spans="1:3" x14ac:dyDescent="0.2">
      <c r="A58" s="132"/>
      <c r="B58" s="139" t="str">
        <f>IF(Certidão!D86="","",CONCATENATE(Certidão!B86,"                 ",Certidão!C86,"          ",Certidão!D86,"      ",Certidão!H86))</f>
        <v/>
      </c>
      <c r="C58" s="132"/>
    </row>
    <row r="59" spans="1:3" x14ac:dyDescent="0.2">
      <c r="A59" s="132"/>
      <c r="B59" s="139" t="str">
        <f>IF(Certidão!D87="","",CONCATENATE(Certidão!B87,"                 ",Certidão!C87,"                              ",Certidão!D87,"      ",Certidão!H87))</f>
        <v/>
      </c>
      <c r="C59" s="132"/>
    </row>
    <row r="60" spans="1:3" x14ac:dyDescent="0.2">
      <c r="A60" s="132"/>
      <c r="B60" s="139" t="str">
        <f ca="1">IF(Certidão!D88="","",CONCATENATE(Certidão!B88,"                 ",Certidão!C88,"                                   ",Certidão!D88,"      ",Certidão!H88))</f>
        <v xml:space="preserve">2001-6                 CAARJ / IAB                                   0      </v>
      </c>
      <c r="C60" s="132"/>
    </row>
    <row r="61" spans="1:3" x14ac:dyDescent="0.2">
      <c r="A61" s="132"/>
      <c r="B61" s="139" t="str">
        <f ca="1">IF(Certidão!D89="","",CONCATENATE(Certidão!B89,"    ",Certidão!C89,"                      ",Certidão!D89,"      ",Certidão!H89))</f>
        <v xml:space="preserve">    Atos dos Distribuidores                      0      </v>
      </c>
      <c r="C61" s="132"/>
    </row>
    <row r="62" spans="1:3" x14ac:dyDescent="0.2">
      <c r="A62" s="132"/>
      <c r="B62" s="139" t="str">
        <f>IF(Certidão!D90="","",CONCATENATE(Certidão!B90,"                 ",Certidão!C90,"    ",Certidão!D90,"      ",Certidão!H90))</f>
        <v/>
      </c>
      <c r="C62" s="132"/>
    </row>
    <row r="63" spans="1:3" x14ac:dyDescent="0.2">
      <c r="A63" s="132"/>
      <c r="B63" s="139" t="str">
        <f ca="1">IF(Certidão!D91="","",CONCATENATE(Certidão!B91,"    ",Certidão!C91,"                                                ",Certidão!D91,"      ",Certidão!H91))</f>
        <v xml:space="preserve">6246-0088009-4    FETJ                                                0      </v>
      </c>
      <c r="C63" s="132"/>
    </row>
    <row r="64" spans="1:3" x14ac:dyDescent="0.2">
      <c r="A64" s="132"/>
      <c r="B64" s="139" t="str">
        <f ca="1">IF(Certidão!D92="","",CONCATENATE(Certidão!B92,"                 ",Certidão!C92,"                                  ",Certidão!D92,"      ",Certidão!H92))</f>
        <v xml:space="preserve">2101-4                 Taxa Judiciária                                  0      </v>
      </c>
      <c r="C64" s="132"/>
    </row>
    <row r="65" spans="1:3" x14ac:dyDescent="0.2">
      <c r="A65" s="132"/>
      <c r="B65" s="139" t="str">
        <f ca="1">IF(Certidão!D93="","",CONCATENATE(Certidão!B93,"    ",Certidão!C93,"                                        ",Certidão!D93,"      ",Certidão!H93))</f>
        <v xml:space="preserve">6898-0000208-9    FUNPERJ                                        0      </v>
      </c>
      <c r="C65" s="132"/>
    </row>
    <row r="66" spans="1:3" x14ac:dyDescent="0.2">
      <c r="A66" s="132"/>
      <c r="B66" s="139" t="str">
        <f ca="1">IF(Certidão!D94="","",CONCATENATE(Certidão!B94,"    ",Certidão!C94,"                                      ",Certidão!D94,"      ",Certidão!H94))</f>
        <v xml:space="preserve">6898-0000215-1    FUNDPERJ                                      0      </v>
      </c>
      <c r="C66" s="132"/>
    </row>
    <row r="67" spans="1:3" x14ac:dyDescent="0.2">
      <c r="A67" s="132"/>
      <c r="B67" s="139" t="str">
        <f>IF(Certidão!D95="","",CONCATENATE(Certidão!B95,"    ",Certidão!C95,"                      ",Certidão!D95,"      ",Certidão!H95))</f>
        <v xml:space="preserve">                          0      </v>
      </c>
      <c r="C67" s="132"/>
    </row>
    <row r="68" spans="1:3" x14ac:dyDescent="0.2">
      <c r="A68" s="132"/>
      <c r="B68" s="139" t="str">
        <f>IF(Certidão!D96="","",CONCATENATE(Certidão!B96,"                 ",Certidão!C96,"    ",Certidão!D96,"      ",Certidão!H96))</f>
        <v/>
      </c>
      <c r="C68" s="132"/>
    </row>
    <row r="69" spans="1:3" x14ac:dyDescent="0.2">
      <c r="A69" s="132"/>
      <c r="B69" s="139" t="str">
        <f>IF(Certidão!D97="","",CONCATENATE(Certidão!B97,"    ",Certidão!C97,"                      ",Certidão!D97,"      ",Certidão!H97))</f>
        <v xml:space="preserve">                          0      </v>
      </c>
      <c r="C69" s="132"/>
    </row>
    <row r="70" spans="1:3" x14ac:dyDescent="0.2">
      <c r="A70" s="132"/>
      <c r="B70" s="139" t="str">
        <f>IF(Certidão!D98="","",CONCATENATE(Certidão!B98,"                 ",Certidão!C98,"    ",Certidão!D98,"      ",Certidão!H98))</f>
        <v/>
      </c>
      <c r="C70" s="132"/>
    </row>
    <row r="71" spans="1:3" x14ac:dyDescent="0.2">
      <c r="A71" s="132"/>
      <c r="B71" s="139" t="str">
        <f>IF(Certidão!D99="","",CONCATENATE(Certidão!B99,"    ",Certidão!C99,"                      ",Certidão!D99,"      ",Certidão!H99))</f>
        <v xml:space="preserve">                          0      </v>
      </c>
      <c r="C71" s="132"/>
    </row>
    <row r="72" spans="1:3" x14ac:dyDescent="0.2">
      <c r="A72" s="132"/>
      <c r="B72" s="139" t="str">
        <f>IF(Certidão!D100="","",CONCATENATE(Certidão!B100,"                 ",Certidão!C100,"    ",Certidão!D100,"      ",Certidão!H100))</f>
        <v/>
      </c>
      <c r="C72" s="132"/>
    </row>
    <row r="73" spans="1:3" x14ac:dyDescent="0.2">
      <c r="A73" s="132"/>
      <c r="B73" s="139" t="str">
        <f>IF(Certidão!D101="","",CONCATENATE(Certidão!B101,"    ",Certidão!C101,"                      ",Certidão!D101,"      ",Certidão!H101))</f>
        <v xml:space="preserve">                          0      </v>
      </c>
      <c r="C73" s="132"/>
    </row>
    <row r="74" spans="1:3" x14ac:dyDescent="0.2">
      <c r="A74" s="132"/>
      <c r="B74" s="139" t="str">
        <f>IF(Certidão!D102="","",CONCATENATE(Certidão!B102,"                 ",Certidão!C102,"    ",Certidão!D102,"      ",Certidão!H102))</f>
        <v/>
      </c>
      <c r="C74" s="132"/>
    </row>
    <row r="75" spans="1:3" x14ac:dyDescent="0.2">
      <c r="A75" s="132"/>
      <c r="B75" s="139" t="str">
        <f ca="1">IF(Certidão!D103="","",CONCATENATE(Certidão!B103,"                 ",Certidão!C103,"           ",Certidão!D103,"      ",Certidão!H103))</f>
        <v xml:space="preserve">                            0      </v>
      </c>
      <c r="C75" s="132"/>
    </row>
    <row r="76" spans="1:3" x14ac:dyDescent="0.2">
      <c r="A76" s="132"/>
      <c r="B76" s="139" t="str">
        <f ca="1">IF(Certidão!D104="","",CONCATENATE(Certidão!B104,"                 ",Certidão!C104,"            ",Certidão!D104,"      ",Certidão!H104))</f>
        <v xml:space="preserve">                             0      </v>
      </c>
      <c r="C76" s="132"/>
    </row>
    <row r="77" spans="1:3" x14ac:dyDescent="0.2">
      <c r="A77" s="132"/>
      <c r="B77" s="139" t="str">
        <f ca="1">IF(Certidão!D105="","",CONCATENATE(Certidão!B105,"                 ",Certidão!C105,"              ",Certidão!D105,"      ",Certidão!H105))</f>
        <v xml:space="preserve">                               0      </v>
      </c>
      <c r="C77" s="132"/>
    </row>
    <row r="78" spans="1:3" x14ac:dyDescent="0.2">
      <c r="A78" s="132"/>
      <c r="B78" s="139" t="str">
        <f ca="1">IF(Certidão!D106="","",CONCATENATE(Certidão!B106,"                 ",Certidão!C106,"              ",Certidão!D106,"      ",Certidão!H106))</f>
        <v xml:space="preserve">                               0      </v>
      </c>
      <c r="C78" s="132"/>
    </row>
    <row r="79" spans="1:3" x14ac:dyDescent="0.2">
      <c r="A79" s="132"/>
      <c r="C79" s="132"/>
    </row>
    <row r="80" spans="1:3" x14ac:dyDescent="0.2">
      <c r="A80" s="132"/>
      <c r="B80" s="139" t="str">
        <f ca="1">IF(Certidão!D107="","",CONCATENATE(Certidão!B107,"                 ",Certidão!C107,"                      ",Certidão!D107,"      ",Certidão!H107))</f>
        <v xml:space="preserve">                 VALOR DEVIDO                      0      </v>
      </c>
      <c r="C80" s="132"/>
    </row>
    <row r="81" spans="1:3" x14ac:dyDescent="0.2">
      <c r="A81" s="132"/>
      <c r="B81" s="139" t="str">
        <f>IF(Certidão!D109="","",CONCATENATE(Certidão!B109,"                 ",Certidão!C109,"                      ",Certidão!D109,"      ",Certidão!H109))</f>
        <v/>
      </c>
      <c r="C81" s="132"/>
    </row>
    <row r="82" spans="1:3" x14ac:dyDescent="0.2">
      <c r="A82" s="132"/>
      <c r="B82" s="139" t="str">
        <f ca="1">IF(Certidão!D117="","",CONCATENATE(Certidão!B109,"    ",Certidão!C109))</f>
        <v>Observação:     GRERJ 2ª Instância</v>
      </c>
      <c r="C82" s="132"/>
    </row>
    <row r="83" spans="1:3" x14ac:dyDescent="0.2">
      <c r="A83" s="132"/>
      <c r="C83" s="132"/>
    </row>
    <row r="84" spans="1:3" x14ac:dyDescent="0.2">
      <c r="A84" s="132"/>
      <c r="B84" s="139" t="str">
        <f ca="1">IF(Certidão!D112="","",CONCATENATE(Certidão!B112,"                 ",Certidão!C112,"           ",Certidão!D112,"      ",Certidão!H112))</f>
        <v xml:space="preserve">1101-5                 Atos da Secretaria do Tribunal           0      </v>
      </c>
      <c r="C84" s="132"/>
    </row>
    <row r="85" spans="1:3" x14ac:dyDescent="0.2">
      <c r="A85" s="132"/>
      <c r="B85" s="139" t="str">
        <f ca="1">IF(Certidão!D113="","",CONCATENATE(Certidão!B113,"                 ",Certidão!C113,"          ",Certidão!D113,"      ",Certidão!H113))</f>
        <v xml:space="preserve">1104-9                 Porte de Remessa e de Retorno          0      </v>
      </c>
      <c r="C85" s="132"/>
    </row>
    <row r="86" spans="1:3" x14ac:dyDescent="0.2">
      <c r="A86" s="132"/>
      <c r="B86" s="139" t="str">
        <f ca="1">IF(Certidão!D114="","",CONCATENATE(Certidão!B114,"                 ",Certidão!C114,"                                      ",Certidão!D114,"      ",Certidão!H114))</f>
        <v xml:space="preserve">2001-6                 CAARJ / IAB                                      0      </v>
      </c>
      <c r="C86" s="132"/>
    </row>
    <row r="87" spans="1:3" x14ac:dyDescent="0.2">
      <c r="A87" s="132"/>
      <c r="B87" s="252" t="str">
        <f ca="1">IF(Certidão!D115="","",CONCATENATE(Certidão!B115,"     ",Certidão!C115,"                                         ",Certidão!D115,"      ",Certidão!H115))</f>
        <v xml:space="preserve">6898-0000208-9     FUNPERJ                                         0      </v>
      </c>
      <c r="C87" s="132"/>
    </row>
    <row r="88" spans="1:3" x14ac:dyDescent="0.2">
      <c r="A88" s="132"/>
      <c r="B88" s="139" t="str">
        <f ca="1">IF(Certidão!D116="","",CONCATENATE(Certidão!B116,"    ",Certidão!C116,"                                        ",Certidão!D116,"      ",Certidão!H116))</f>
        <v xml:space="preserve">6898-0000215-1    FUNDPERJ                                        0      </v>
      </c>
      <c r="C88" s="132"/>
    </row>
    <row r="89" spans="1:3" x14ac:dyDescent="0.2">
      <c r="A89" s="132"/>
      <c r="C89" s="132"/>
    </row>
    <row r="90" spans="1:3" x14ac:dyDescent="0.2">
      <c r="A90" s="132"/>
      <c r="B90" s="139" t="str">
        <f ca="1">IF(Certidão!D117="","",CONCATENATE(Certidão!B117,"                 ",Certidão!C117,"                      ",Certidão!D117,"      ",Certidão!H117))</f>
        <v xml:space="preserve">                 VALOR DEVIDO                      0      </v>
      </c>
      <c r="C90" s="132"/>
    </row>
    <row r="91" spans="1:3" x14ac:dyDescent="0.2">
      <c r="A91" s="132"/>
      <c r="B91" s="132"/>
      <c r="C91" s="132"/>
    </row>
    <row r="92" spans="1:3" x14ac:dyDescent="0.2">
      <c r="A92" s="132"/>
      <c r="B92" s="132"/>
      <c r="C92" s="132"/>
    </row>
    <row r="93" spans="1:3" ht="63.75" x14ac:dyDescent="0.2">
      <c r="A93" s="132"/>
      <c r="B93" s="440" t="str">
        <f>CONCATENATE("       ",I2," ",GRERJFINAL!C13,", ",J2)</f>
        <v xml:space="preserve">       Intime-se a parte , via D.J.E.R.J., para recolher as custas certificadas abaixo, segundo art. 31 da lei Estadual nº 3.350/99 (lei 6.369/2012). Havendo comprovação, dê-se baixa e arquive-se. Não havendo comprovação do recolhimento, expeça-se certidão ao FETJ. Após, arquive-se com ou sem baixa, conforme o caso."</v>
      </c>
      <c r="C93" s="132"/>
    </row>
    <row r="94" spans="1:3" x14ac:dyDescent="0.2">
      <c r="A94" s="132"/>
      <c r="B94" s="139" t="str">
        <f>IF(Certidão!D140="","",CONCATENATE("       Valores calculados na proporção de ",Certidão!D140,"%."))</f>
        <v/>
      </c>
      <c r="C94" s="132"/>
    </row>
    <row r="95" spans="1:3" x14ac:dyDescent="0.2">
      <c r="A95" s="132"/>
      <c r="C95" s="132"/>
    </row>
    <row r="96" spans="1:3" x14ac:dyDescent="0.2">
      <c r="A96" s="132"/>
      <c r="B96" s="251"/>
      <c r="C96" s="132"/>
    </row>
    <row r="97" spans="1:3" x14ac:dyDescent="0.2">
      <c r="A97" s="132"/>
      <c r="B97" s="139" t="str">
        <f ca="1">IF(Certidão!D143="","",CONCATENATE(Certidão!B143,"                 ",Certidão!C143,"                         ",Certidão!D143,"      ",Certidão!H143))</f>
        <v xml:space="preserve">1102-3                 Atos dos Escrivães                          0      </v>
      </c>
      <c r="C97" s="132"/>
    </row>
    <row r="98" spans="1:3" x14ac:dyDescent="0.2">
      <c r="A98" s="132"/>
      <c r="B98" s="139" t="str">
        <f ca="1">IF(Certidão!D144="","",CONCATENATE(Certidão!B144,"                 ",Certidão!C144,"           ",Certidão!D144,"      ",Certidão!H144))</f>
        <v xml:space="preserve">1104-9                 Porte de Remessa e de Retorno           0      </v>
      </c>
      <c r="C98" s="132"/>
    </row>
    <row r="99" spans="1:3" x14ac:dyDescent="0.2">
      <c r="A99" s="132"/>
      <c r="B99" s="139" t="str">
        <f ca="1">IF(Certidão!D145="","",CONCATENATE(Certidão!B145,"                 ",Certidão!C145,"                   ",Certidão!D145,"      ",Certidão!H145))</f>
        <v xml:space="preserve">1111-4                 Desarquivamento de autos                   0      </v>
      </c>
      <c r="C99" s="132"/>
    </row>
    <row r="100" spans="1:3" x14ac:dyDescent="0.2">
      <c r="A100" s="132"/>
      <c r="B100" s="139" t="str">
        <f ca="1">IF(Certidão!D146="","",CONCATENATE(Certidão!B146,"                 ",Certidão!C146,"                                   ",Certidão!D146,"      ",Certidão!H146))</f>
        <v xml:space="preserve">1107-2                 Atos dos OJAs                                   0      </v>
      </c>
      <c r="C100" s="132"/>
    </row>
    <row r="101" spans="1:3" x14ac:dyDescent="0.2">
      <c r="A101" s="132"/>
      <c r="B101" s="139" t="str">
        <f ca="1">IF(Certidão!D147="","",CONCATENATE(Certidão!B147,"                 ",Certidão!C147,"                                          ",Certidão!D147,"      ",Certidão!H147))</f>
        <v xml:space="preserve">1110-6                 Via Postal                                          0      </v>
      </c>
      <c r="C101" s="132"/>
    </row>
    <row r="102" spans="1:3" x14ac:dyDescent="0.2">
      <c r="A102" s="132"/>
      <c r="B102" s="139" t="str">
        <f ca="1">IF(Certidão!D148="","",CONCATENATE(Certidão!B148,"                 ",Certidão!C148,"                ",Certidão!D148,"      ",Certidão!H148))</f>
        <v xml:space="preserve">1109-8                 Atos dos Auxiliares do Juízo                0      </v>
      </c>
      <c r="C102" s="132"/>
    </row>
    <row r="103" spans="1:3" x14ac:dyDescent="0.2">
      <c r="A103" s="132"/>
      <c r="B103" s="139" t="str">
        <f>IF(Certidão!D149="","",CONCATENATE(Certidão!B149,"                 ",Certidão!C149,"            ",Certidão!D149,"      ",Certidão!H149))</f>
        <v/>
      </c>
      <c r="C103" s="132"/>
    </row>
    <row r="104" spans="1:3" x14ac:dyDescent="0.2">
      <c r="A104" s="132"/>
      <c r="B104" s="139" t="str">
        <f>IF(Certidão!D150="","",CONCATENATE(Certidão!B150,"                 ",Certidão!C150,"                                  ",Certidão!D150,"      ",Certidão!H150))</f>
        <v/>
      </c>
      <c r="C104" s="132"/>
    </row>
    <row r="105" spans="1:3" x14ac:dyDescent="0.2">
      <c r="A105" s="132"/>
      <c r="B105" s="139" t="str">
        <f ca="1">IF(Certidão!D151="","",CONCATENATE(Certidão!B151,"                 ",Certidão!C151,"                                      ",Certidão!D151,"      ",Certidão!H151))</f>
        <v xml:space="preserve">2001-6                 CAARJ / IAB                                      0      </v>
      </c>
      <c r="C105" s="132"/>
    </row>
    <row r="106" spans="1:3" x14ac:dyDescent="0.2">
      <c r="A106" s="132"/>
      <c r="B106" s="139" t="str">
        <f ca="1">IF(Certidão!D152="","",CONCATENATE(Certidão!B152,"    ",Certidão!C152,"                        ",Certidão!D152,"      ",Certidão!H152))</f>
        <v xml:space="preserve">    Atos dos Distribuidores                        0      </v>
      </c>
      <c r="C106" s="132"/>
    </row>
    <row r="107" spans="1:3" x14ac:dyDescent="0.2">
      <c r="A107" s="132"/>
      <c r="B107" s="139" t="str">
        <f>IF(Certidão!D153="","",CONCATENATE(Certidão!B153,"                 ",Certidão!C153,"      ",Certidão!D153,"      ",Certidão!H153))</f>
        <v/>
      </c>
      <c r="C107" s="132"/>
    </row>
    <row r="108" spans="1:3" x14ac:dyDescent="0.2">
      <c r="A108" s="132"/>
      <c r="B108" s="139" t="str">
        <f ca="1">IF(Certidão!D154="","",CONCATENATE(Certidão!B154,"    ",Certidão!C154,"                                                  ",Certidão!D154,"      ",Certidão!H154))</f>
        <v xml:space="preserve">6246-0088009-4    FETJ                                                  0      </v>
      </c>
      <c r="C108" s="132"/>
    </row>
    <row r="109" spans="1:3" x14ac:dyDescent="0.2">
      <c r="A109" s="132"/>
      <c r="B109" s="139" t="str">
        <f ca="1">IF(Certidão!D155="","",CONCATENATE(Certidão!B155,"                 ",Certidão!C155,"                                    ",Certidão!D155,"      ",Certidão!H155))</f>
        <v xml:space="preserve">2101-4                 Taxa Judiciária                                    0      </v>
      </c>
      <c r="C109" s="132"/>
    </row>
    <row r="110" spans="1:3" x14ac:dyDescent="0.2">
      <c r="A110" s="132"/>
      <c r="B110" s="139" t="str">
        <f ca="1">IF(Certidão!D156="","",CONCATENATE(Certidão!B156,"    ",Certidão!C156,"                                           ",Certidão!D156,"      ",Certidão!H156))</f>
        <v xml:space="preserve">6898-0000208-9    FUNPERJ                                           0      </v>
      </c>
      <c r="C110" s="132"/>
    </row>
    <row r="111" spans="1:3" x14ac:dyDescent="0.2">
      <c r="A111" s="132"/>
      <c r="B111" s="139" t="str">
        <f ca="1">IF(Certidão!D157="","",CONCATENATE(Certidão!B157,"    ",Certidão!C157,"                                         ",Certidão!D157,"      ",Certidão!H157))</f>
        <v xml:space="preserve">6898-0000215-1    FUNDPERJ                                         0      </v>
      </c>
      <c r="C111" s="132"/>
    </row>
    <row r="112" spans="1:3" x14ac:dyDescent="0.2">
      <c r="A112" s="132"/>
      <c r="B112" s="139" t="str">
        <f>IF(Certidão!D158="","",CONCATENATE(Certidão!B158,"    ",Certidão!C158,"                        ",Certidão!D158,"      ",Certidão!H158))</f>
        <v xml:space="preserve">                            0      </v>
      </c>
      <c r="C112" s="132"/>
    </row>
    <row r="113" spans="1:3" x14ac:dyDescent="0.2">
      <c r="A113" s="132"/>
      <c r="B113" s="139" t="str">
        <f>IF(Certidão!D159="","",CONCATENATE(Certidão!B159,"                 ",Certidão!C159,"      ",Certidão!D159,"      ",Certidão!H159))</f>
        <v/>
      </c>
      <c r="C113" s="132"/>
    </row>
    <row r="114" spans="1:3" x14ac:dyDescent="0.2">
      <c r="A114" s="132"/>
      <c r="B114" s="139" t="str">
        <f>IF(Certidão!D160="","",CONCATENATE(Certidão!B160,"    ",Certidão!C160,"                        ",Certidão!D160,"      ",Certidão!H160))</f>
        <v xml:space="preserve">                            0      </v>
      </c>
      <c r="C114" s="132"/>
    </row>
    <row r="115" spans="1:3" x14ac:dyDescent="0.2">
      <c r="A115" s="132"/>
      <c r="B115" s="139" t="str">
        <f>IF(Certidão!D161="","",CONCATENATE(Certidão!B161,"                 ",Certidão!C161,"      ",Certidão!D161,"      ",Certidão!H161))</f>
        <v/>
      </c>
      <c r="C115" s="132"/>
    </row>
    <row r="116" spans="1:3" x14ac:dyDescent="0.2">
      <c r="A116" s="132"/>
      <c r="B116" s="139" t="str">
        <f>IF(Certidão!D162="","",CONCATENATE(Certidão!B162,"    ",Certidão!C162,"                        ",Certidão!D162,"      ",Certidão!H162))</f>
        <v xml:space="preserve">                            0      </v>
      </c>
      <c r="C116" s="132"/>
    </row>
    <row r="117" spans="1:3" x14ac:dyDescent="0.2">
      <c r="A117" s="132"/>
      <c r="B117" s="139" t="str">
        <f>IF(Certidão!D163="","",CONCATENATE(Certidão!B163,"                 ",Certidão!C163,"      ",Certidão!D163,"      ",Certidão!H163))</f>
        <v/>
      </c>
      <c r="C117" s="132"/>
    </row>
    <row r="118" spans="1:3" x14ac:dyDescent="0.2">
      <c r="A118" s="132"/>
      <c r="B118" s="139" t="str">
        <f>IF(Certidão!D164="","",CONCATENATE(Certidão!B164,"    ",Certidão!C164,"                        ",Certidão!D164,"      ",Certidão!H164))</f>
        <v xml:space="preserve">                            0      </v>
      </c>
      <c r="C118" s="132"/>
    </row>
    <row r="119" spans="1:3" x14ac:dyDescent="0.2">
      <c r="A119" s="132"/>
      <c r="B119" s="139" t="str">
        <f>IF(Certidão!D165="","",CONCATENATE(Certidão!B165,"                 ",Certidão!C165,"      ",Certidão!D165,"      ",Certidão!H165))</f>
        <v/>
      </c>
      <c r="C119" s="132"/>
    </row>
    <row r="120" spans="1:3" x14ac:dyDescent="0.2">
      <c r="A120" s="132"/>
      <c r="B120" s="139" t="str">
        <f ca="1">IF(Certidão!D166="","",CONCATENATE(Certidão!B166,"                 ",Certidão!C166,"             ",Certidão!D166,"      ",Certidão!H166))</f>
        <v xml:space="preserve">                              0      </v>
      </c>
      <c r="C120" s="132"/>
    </row>
    <row r="121" spans="1:3" x14ac:dyDescent="0.2">
      <c r="A121" s="132"/>
      <c r="B121" s="139" t="str">
        <f ca="1">IF(Certidão!D167="","",CONCATENATE(Certidão!B167,"                 ",Certidão!C167,"               ",Certidão!D167,"      ",Certidão!H167))</f>
        <v xml:space="preserve">                                0      </v>
      </c>
      <c r="C121" s="132"/>
    </row>
    <row r="122" spans="1:3" x14ac:dyDescent="0.2">
      <c r="A122" s="132"/>
      <c r="B122" s="139" t="str">
        <f ca="1">IF(Certidão!D168="","",CONCATENATE(Certidão!B168,"                 ",Certidão!C168,"                 ",Certidão!D168,"      ",Certidão!H168))</f>
        <v xml:space="preserve">                                  0      </v>
      </c>
      <c r="C122" s="132"/>
    </row>
    <row r="123" spans="1:3" x14ac:dyDescent="0.2">
      <c r="A123" s="132"/>
      <c r="B123" s="139" t="str">
        <f ca="1">IF(Certidão!D169="","",CONCATENATE(Certidão!B169,"                 ",Certidão!C169,"                 ",Certidão!D169,"      ",Certidão!H169))</f>
        <v xml:space="preserve">                                  0      </v>
      </c>
      <c r="C123" s="132"/>
    </row>
    <row r="124" spans="1:3" x14ac:dyDescent="0.2">
      <c r="A124" s="132"/>
      <c r="C124" s="132"/>
    </row>
    <row r="125" spans="1:3" x14ac:dyDescent="0.2">
      <c r="A125" s="132"/>
      <c r="B125" s="139" t="str">
        <f ca="1">IF(Certidão!D170="","",CONCATENATE(Certidão!B170,"                 ",Certidão!C170,"                      ",Certidão!D170,"      ",Certidão!H170))</f>
        <v xml:space="preserve">                 VALOR DEVIDO                      0      </v>
      </c>
      <c r="C125" s="132"/>
    </row>
    <row r="126" spans="1:3" x14ac:dyDescent="0.2">
      <c r="A126" s="132"/>
      <c r="B126" s="139" t="str">
        <f>IF(Certidão!D172="","",CONCATENATE(Certidão!B172,"                 ",Certidão!C172,"                      ",Certidão!D172,"      ",Certidão!H172))</f>
        <v/>
      </c>
      <c r="C126" s="132"/>
    </row>
    <row r="127" spans="1:3" x14ac:dyDescent="0.2">
      <c r="A127" s="132"/>
      <c r="B127" s="139" t="str">
        <f ca="1">IF(Certidão!D180="","",CONCATENATE(Certidão!B172,"    ",Certidão!C172))</f>
        <v>Observação:     GRERJ 2ª Instância</v>
      </c>
      <c r="C127" s="132"/>
    </row>
    <row r="128" spans="1:3" x14ac:dyDescent="0.2">
      <c r="A128" s="132"/>
      <c r="C128" s="132"/>
    </row>
    <row r="129" spans="1:3" x14ac:dyDescent="0.2">
      <c r="A129" s="132"/>
      <c r="B129" s="139" t="str">
        <f ca="1">IF(Certidão!D175="","",CONCATENATE(Certidão!B175,"                 ",Certidão!C175,"               ",Certidão!D175,"      ",Certidão!H175))</f>
        <v xml:space="preserve">1101-5                 Atos da Secretaria do Tribunal               0      </v>
      </c>
      <c r="C129" s="132"/>
    </row>
    <row r="130" spans="1:3" x14ac:dyDescent="0.2">
      <c r="A130" s="132"/>
      <c r="B130" s="139" t="str">
        <f ca="1">IF(Certidão!D176="","",CONCATENATE(Certidão!B176,"                 ",Certidão!C176,"              ",Certidão!D176,"      ",Certidão!H176))</f>
        <v xml:space="preserve">1104-9                 Porte de Remessa e de Retorno              0      </v>
      </c>
      <c r="C130" s="132"/>
    </row>
    <row r="131" spans="1:3" x14ac:dyDescent="0.2">
      <c r="A131" s="132"/>
      <c r="B131" s="139" t="str">
        <f ca="1">IF(Certidão!D177="","",CONCATENATE(Certidão!B177,"                 ",Certidão!C177,"                                          ",Certidão!D177,"      ",Certidão!H177))</f>
        <v xml:space="preserve">2001-6                 CAARJ / IAB                                          0      </v>
      </c>
      <c r="C131" s="132"/>
    </row>
    <row r="132" spans="1:3" x14ac:dyDescent="0.2">
      <c r="A132" s="132"/>
      <c r="B132" s="139" t="str">
        <f ca="1">IF(Certidão!D178="","",CONCATENATE(Certidão!B178,"    ",Certidão!C178,"                                              ",Certidão!D178,"      ",Certidão!H178))</f>
        <v xml:space="preserve">6898-0000208-9    FUNPERJ                                              0      </v>
      </c>
      <c r="C132" s="132"/>
    </row>
    <row r="133" spans="1:3" x14ac:dyDescent="0.2">
      <c r="A133" s="132"/>
      <c r="B133" s="139" t="str">
        <f ca="1">IF(Certidão!D179="","",CONCATENATE(Certidão!B179,"                 ",Certidão!C179,"                               ",Certidão!D179,"      ",Certidão!H179))</f>
        <v xml:space="preserve">6898-0000215-1                 FUNDPERJ                               0      </v>
      </c>
      <c r="C133" s="132"/>
    </row>
    <row r="134" spans="1:3" x14ac:dyDescent="0.2">
      <c r="A134" s="132"/>
      <c r="C134" s="132"/>
    </row>
    <row r="135" spans="1:3" x14ac:dyDescent="0.2">
      <c r="A135" s="132"/>
      <c r="B135" s="139" t="str">
        <f ca="1">IF(Certidão!D180="","",CONCATENATE(Certidão!B180,"                 ",Certidão!C180,"                      ",Certidão!D180,"      ",Certidão!H180))</f>
        <v xml:space="preserve">                 VALOR DEVIDO                      0      </v>
      </c>
      <c r="C135" s="132"/>
    </row>
    <row r="136" spans="1:3" x14ac:dyDescent="0.2">
      <c r="A136" s="132"/>
      <c r="B136" s="132"/>
      <c r="C136" s="132"/>
    </row>
    <row r="137" spans="1:3" x14ac:dyDescent="0.2">
      <c r="A137" s="132"/>
      <c r="B137" s="132"/>
      <c r="C137" s="132"/>
    </row>
    <row r="138" spans="1:3" ht="63.75" x14ac:dyDescent="0.2">
      <c r="A138" s="132"/>
      <c r="B138" s="440" t="str">
        <f>CONCATENATE("       ",I2," ",GRERJFINAL!C15,", ",J2)</f>
        <v xml:space="preserve">       Intime-se a parte , via D.J.E.R.J., para recolher as custas certificadas abaixo, segundo art. 31 da lei Estadual nº 3.350/99 (lei 6.369/2012). Havendo comprovação, dê-se baixa e arquive-se. Não havendo comprovação do recolhimento, expeça-se certidão ao FETJ. Após, arquive-se com ou sem baixa, conforme o caso."</v>
      </c>
      <c r="C138" s="132"/>
    </row>
    <row r="139" spans="1:3" x14ac:dyDescent="0.2">
      <c r="A139" s="132"/>
      <c r="B139" s="139" t="str">
        <f>IF(Certidão!D203="","",CONCATENATE("       Valores calculados na proporção de ",Certidão!D203,"%."))</f>
        <v/>
      </c>
      <c r="C139" s="132"/>
    </row>
    <row r="140" spans="1:3" x14ac:dyDescent="0.2">
      <c r="A140" s="132"/>
      <c r="C140" s="132"/>
    </row>
    <row r="141" spans="1:3" x14ac:dyDescent="0.2">
      <c r="A141" s="132"/>
      <c r="B141" s="251"/>
      <c r="C141" s="132"/>
    </row>
    <row r="142" spans="1:3" x14ac:dyDescent="0.2">
      <c r="A142" s="132"/>
      <c r="B142" s="250" t="str">
        <f ca="1">IF(Certidão!D206="","",CONCATENATE(Certidão!B206,"                 ",Certidão!C206,"                        ",Certidão!D206,"      ",Certidão!H206))</f>
        <v xml:space="preserve">1102-3                 Atos dos Escrivães                         0      </v>
      </c>
      <c r="C142" s="132"/>
    </row>
    <row r="143" spans="1:3" x14ac:dyDescent="0.2">
      <c r="A143" s="132"/>
      <c r="B143" s="250" t="str">
        <f ca="1">IF(Certidão!D207="","",CONCATENATE(Certidão!B207,"                 ",Certidão!C207,"          ",Certidão!D207,"      ",Certidão!H207))</f>
        <v xml:space="preserve">1104-9                 Porte de Remessa e de Retorno          0      </v>
      </c>
      <c r="C143" s="132"/>
    </row>
    <row r="144" spans="1:3" x14ac:dyDescent="0.2">
      <c r="A144" s="132"/>
      <c r="B144" s="250" t="str">
        <f ca="1">IF(Certidão!D208="","",CONCATENATE(Certidão!B208,"                 ",Certidão!C208,"                   ",Certidão!D208,"      ",Certidão!H208))</f>
        <v xml:space="preserve">1111-4                 Desarquivamento de autos                   0      </v>
      </c>
      <c r="C144" s="132"/>
    </row>
    <row r="145" spans="1:3" x14ac:dyDescent="0.2">
      <c r="A145" s="132"/>
      <c r="B145" s="250" t="str">
        <f ca="1">IF(Certidão!D209="","",CONCATENATE(Certidão!B209,"                 ",Certidão!C209,"                                   ",Certidão!D209,"      ",Certidão!H209))</f>
        <v xml:space="preserve">1107-2                 Atos dos OJAs                                   0      </v>
      </c>
      <c r="C145" s="132"/>
    </row>
    <row r="146" spans="1:3" x14ac:dyDescent="0.2">
      <c r="A146" s="132"/>
      <c r="B146" s="250" t="str">
        <f ca="1">IF(Certidão!D210="","",CONCATENATE(Certidão!B210,"                 ",Certidão!C210,"                                          ",Certidão!D210,"      ",Certidão!H210))</f>
        <v xml:space="preserve">1110-6                 Via Postal                                          0      </v>
      </c>
      <c r="C146" s="132"/>
    </row>
    <row r="147" spans="1:3" x14ac:dyDescent="0.2">
      <c r="A147" s="132"/>
      <c r="B147" s="250" t="str">
        <f ca="1">IF(Certidão!D211="","",CONCATENATE(Certidão!B211,"                 ",Certidão!C211,"                ",Certidão!D211,"      ",Certidão!H211))</f>
        <v xml:space="preserve">1109-8                 Atos dos Auxiliares do Juízo                0      </v>
      </c>
      <c r="C147" s="132"/>
    </row>
    <row r="148" spans="1:3" x14ac:dyDescent="0.2">
      <c r="A148" s="132"/>
      <c r="B148" s="250" t="str">
        <f>IF(Certidão!D212="","",CONCATENATE(Certidão!B212,"                 ",Certidão!C212,"            ",Certidão!D212,"      ",Certidão!H212))</f>
        <v/>
      </c>
      <c r="C148" s="132"/>
    </row>
    <row r="149" spans="1:3" x14ac:dyDescent="0.2">
      <c r="A149" s="132"/>
      <c r="B149" s="250" t="str">
        <f>IF(Certidão!D213="","",CONCATENATE(Certidão!B213,"                 ",Certidão!C213,"                                 ",Certidão!D213,"      ",Certidão!H213))</f>
        <v/>
      </c>
      <c r="C149" s="132"/>
    </row>
    <row r="150" spans="1:3" x14ac:dyDescent="0.2">
      <c r="A150" s="132"/>
      <c r="B150" s="250" t="str">
        <f ca="1">IF(Certidão!D214="","",CONCATENATE(Certidão!B214,"                 ",Certidão!C214,"                                     ",Certidão!D214,"      ",Certidão!H214))</f>
        <v xml:space="preserve">2001-6                 CAARJ / IAB                                     0      </v>
      </c>
      <c r="C150" s="132"/>
    </row>
    <row r="151" spans="1:3" x14ac:dyDescent="0.2">
      <c r="A151" s="132"/>
      <c r="B151" s="250" t="str">
        <f ca="1">IF(Certidão!D215="","",CONCATENATE(Certidão!B215,"    ",Certidão!C215,"                        ",Certidão!D215,"      ",Certidão!H215))</f>
        <v xml:space="preserve">    Atos dos Distribuidores                        0      </v>
      </c>
      <c r="C151" s="132"/>
    </row>
    <row r="152" spans="1:3" x14ac:dyDescent="0.2">
      <c r="A152" s="132"/>
      <c r="B152" s="250" t="str">
        <f>IF(Certidão!D216="","",CONCATENATE(Certidão!B216,"                 ",Certidão!C216,"      ",Certidão!D216,"      ",Certidão!H216))</f>
        <v/>
      </c>
      <c r="C152" s="132"/>
    </row>
    <row r="153" spans="1:3" x14ac:dyDescent="0.2">
      <c r="A153" s="132"/>
      <c r="B153" s="250" t="str">
        <f ca="1">IF(Certidão!D217="","",CONCATENATE(Certidão!B217,"    ",Certidão!C217,"                                                  ",Certidão!D217,"      ",Certidão!H217))</f>
        <v xml:space="preserve">6246-0088009-4    FETJ                                                  0      </v>
      </c>
      <c r="C153" s="132"/>
    </row>
    <row r="154" spans="1:3" x14ac:dyDescent="0.2">
      <c r="A154" s="132"/>
      <c r="B154" s="250" t="str">
        <f ca="1">IF(Certidão!D218="","",CONCATENATE(Certidão!B218,"                 ",Certidão!C218,"                                    ",Certidão!D218,"      ",Certidão!H218))</f>
        <v xml:space="preserve">2101-4                 Taxa Judiciária                                    0      </v>
      </c>
      <c r="C154" s="132"/>
    </row>
    <row r="155" spans="1:3" x14ac:dyDescent="0.2">
      <c r="A155" s="132"/>
      <c r="B155" s="250" t="str">
        <f ca="1">IF(Certidão!D219="","",CONCATENATE(Certidão!B219,"    ",Certidão!C219,"                                           ",Certidão!D219,"      ",Certidão!H219))</f>
        <v xml:space="preserve">6898-0000208-9    FUNPERJ                                           0      </v>
      </c>
      <c r="C155" s="132"/>
    </row>
    <row r="156" spans="1:3" x14ac:dyDescent="0.2">
      <c r="A156" s="132"/>
      <c r="B156" s="250" t="str">
        <f ca="1">IF(Certidão!D220="","",CONCATENATE(Certidão!B220,"    ",Certidão!C220,"                                         ",Certidão!D220,"      ",Certidão!H220))</f>
        <v xml:space="preserve">6898-0000215-1    FUNDPERJ                                         0      </v>
      </c>
      <c r="C156" s="132"/>
    </row>
    <row r="157" spans="1:3" x14ac:dyDescent="0.2">
      <c r="A157" s="132"/>
      <c r="B157" s="250" t="str">
        <f>IF(Certidão!D221="","",CONCATENATE(Certidão!B221,"    ",Certidão!C221,"                         ",Certidão!D221,"      ",Certidão!H221))</f>
        <v xml:space="preserve">                             0      </v>
      </c>
      <c r="C157" s="132"/>
    </row>
    <row r="158" spans="1:3" x14ac:dyDescent="0.2">
      <c r="A158" s="132"/>
      <c r="B158" s="250" t="str">
        <f>IF(Certidão!D222="","",CONCATENATE(Certidão!B222,"                 ",Certidão!C222,"       ",Certidão!D222,"      ",Certidão!H222))</f>
        <v/>
      </c>
      <c r="C158" s="132"/>
    </row>
    <row r="159" spans="1:3" x14ac:dyDescent="0.2">
      <c r="A159" s="132"/>
      <c r="B159" s="250" t="str">
        <f>IF(Certidão!D223="","",CONCATENATE(Certidão!B223,"    ",Certidão!C223,"                         ",Certidão!D223,"      ",Certidão!H223))</f>
        <v xml:space="preserve">                             0      </v>
      </c>
      <c r="C159" s="132"/>
    </row>
    <row r="160" spans="1:3" x14ac:dyDescent="0.2">
      <c r="A160" s="132"/>
      <c r="B160" s="250" t="str">
        <f>IF(Certidão!D224="","",CONCATENATE(Certidão!B224,"                 ",Certidão!C224,"       ",Certidão!D224,"      ",Certidão!H224))</f>
        <v/>
      </c>
      <c r="C160" s="132"/>
    </row>
    <row r="161" spans="1:3" x14ac:dyDescent="0.2">
      <c r="A161" s="132"/>
      <c r="B161" s="250" t="str">
        <f>IF(Certidão!D225="","",CONCATENATE(Certidão!B225,"    ",Certidão!C225,"                         ",Certidão!D225,"      ",Certidão!H225))</f>
        <v xml:space="preserve">                             0      </v>
      </c>
      <c r="C161" s="132"/>
    </row>
    <row r="162" spans="1:3" x14ac:dyDescent="0.2">
      <c r="A162" s="132"/>
      <c r="B162" s="250" t="str">
        <f>IF(Certidão!D226="","",CONCATENATE(Certidão!B226,"                 ",Certidão!C226,"       ",Certidão!D226,"      ",Certidão!H226))</f>
        <v/>
      </c>
      <c r="C162" s="132"/>
    </row>
    <row r="163" spans="1:3" x14ac:dyDescent="0.2">
      <c r="A163" s="132"/>
      <c r="B163" s="250" t="str">
        <f>IF(Certidão!D227="","",CONCATENATE(Certidão!B227,"    ",Certidão!C227,"                         ",Certidão!D227,"      ",Certidão!H227))</f>
        <v xml:space="preserve">                             0      </v>
      </c>
      <c r="C163" s="132"/>
    </row>
    <row r="164" spans="1:3" x14ac:dyDescent="0.2">
      <c r="A164" s="132"/>
      <c r="B164" s="250" t="str">
        <f>IF(Certidão!D228="","",CONCATENATE(Certidão!B228,"                 ",Certidão!C228,"       ",Certidão!D228,"      ",Certidão!H228))</f>
        <v/>
      </c>
      <c r="C164" s="132"/>
    </row>
    <row r="165" spans="1:3" x14ac:dyDescent="0.2">
      <c r="A165" s="132"/>
      <c r="B165" s="250" t="str">
        <f ca="1">IF(Certidão!D229="","",CONCATENATE(Certidão!B229,"                 ",Certidão!C229,"              ",Certidão!D229,"      ",Certidão!H229))</f>
        <v xml:space="preserve">                               0      </v>
      </c>
      <c r="C165" s="132"/>
    </row>
    <row r="166" spans="1:3" x14ac:dyDescent="0.2">
      <c r="A166" s="132"/>
      <c r="B166" s="250" t="str">
        <f ca="1">IF(Certidão!D230="","",CONCATENATE(Certidão!B230,"                 ",Certidão!C230,"                ",Certidão!D230,"      ",Certidão!H230))</f>
        <v xml:space="preserve">                                 0      </v>
      </c>
      <c r="C166" s="132"/>
    </row>
    <row r="167" spans="1:3" x14ac:dyDescent="0.2">
      <c r="A167" s="132"/>
      <c r="B167" s="250" t="str">
        <f ca="1">IF(Certidão!D231="","",CONCATENATE(Certidão!B231,"                 ",Certidão!C231,"                 ",Certidão!D231,"      ",Certidão!H231))</f>
        <v xml:space="preserve">                                  0      </v>
      </c>
      <c r="C167" s="132"/>
    </row>
    <row r="168" spans="1:3" x14ac:dyDescent="0.2">
      <c r="A168" s="132"/>
      <c r="B168" s="250" t="str">
        <f ca="1">IF(Certidão!D232="","",CONCATENATE(Certidão!B232,"                 ",Certidão!C232,"                 ",Certidão!D232,"      ",Certidão!H232))</f>
        <v xml:space="preserve">                                  0      </v>
      </c>
      <c r="C168" s="132"/>
    </row>
    <row r="169" spans="1:3" x14ac:dyDescent="0.2">
      <c r="A169" s="132"/>
      <c r="C169" s="132"/>
    </row>
    <row r="170" spans="1:3" x14ac:dyDescent="0.2">
      <c r="A170" s="132"/>
      <c r="B170" s="250" t="str">
        <f ca="1">IF(Certidão!D233="","",CONCATENATE(Certidão!B233,"                 ",Certidão!C233,"                      ",Certidão!D233,"      ",Certidão!H233))</f>
        <v xml:space="preserve">                 VALOR DEVIDO                      0      </v>
      </c>
      <c r="C170" s="132"/>
    </row>
    <row r="171" spans="1:3" x14ac:dyDescent="0.2">
      <c r="A171" s="132"/>
      <c r="B171" s="250" t="str">
        <f>IF(Certidão!D235="","",CONCATENATE(Certidão!B235,"                 ",Certidão!C235,"                      ",Certidão!D235,"      ",Certidão!H235))</f>
        <v/>
      </c>
      <c r="C171" s="132"/>
    </row>
    <row r="172" spans="1:3" x14ac:dyDescent="0.2">
      <c r="A172" s="132"/>
      <c r="B172" s="139" t="str">
        <f ca="1">IF(Certidão!D243="","",CONCATENATE(Certidão!B235,"    ",Certidão!C235))</f>
        <v>Observação:     GRERJ 2ª Instância</v>
      </c>
      <c r="C172" s="132"/>
    </row>
    <row r="173" spans="1:3" x14ac:dyDescent="0.2">
      <c r="A173" s="132"/>
      <c r="B173" s="250"/>
      <c r="C173" s="132"/>
    </row>
    <row r="174" spans="1:3" x14ac:dyDescent="0.2">
      <c r="A174" s="132"/>
      <c r="B174" s="250" t="str">
        <f ca="1">IF(Certidão!D238="","",CONCATENATE(Certidão!B238,"                 ",Certidão!C238,"               ",Certidão!D238,"      ",Certidão!H238))</f>
        <v xml:space="preserve">1101-5                 Atos da Secretaria do Tribunal               0      </v>
      </c>
      <c r="C174" s="132"/>
    </row>
    <row r="175" spans="1:3" x14ac:dyDescent="0.2">
      <c r="A175" s="132"/>
      <c r="B175" s="250" t="str">
        <f ca="1">IF(Certidão!D239="","",CONCATENATE(Certidão!B239,"                 ",Certidão!C239,"              ",Certidão!D239,"      ",Certidão!H239))</f>
        <v xml:space="preserve">1104-9                 Porte de Remessa e de Retorno              0      </v>
      </c>
      <c r="C175" s="132"/>
    </row>
    <row r="176" spans="1:3" x14ac:dyDescent="0.2">
      <c r="A176" s="132"/>
      <c r="B176" s="250" t="str">
        <f ca="1">IF(Certidão!D240="","",CONCATENATE(Certidão!B240,"                 ",Certidão!C240,"                                          ",Certidão!D240,"      ",Certidão!H240))</f>
        <v xml:space="preserve">2001-6                 CAARJ / IAB                                          0      </v>
      </c>
      <c r="C176" s="132"/>
    </row>
    <row r="177" spans="1:3" x14ac:dyDescent="0.2">
      <c r="A177" s="132"/>
      <c r="B177" s="250" t="str">
        <f ca="1">IF(Certidão!D241="","",CONCATENATE(Certidão!B241,"    ",Certidão!C241,"                                              ",Certidão!D241,"      ",Certidão!H241))</f>
        <v xml:space="preserve">6898-0000208-9    FUNPERJ                                              0      </v>
      </c>
      <c r="C177" s="132"/>
    </row>
    <row r="178" spans="1:3" x14ac:dyDescent="0.2">
      <c r="A178" s="132"/>
      <c r="B178" s="250" t="str">
        <f ca="1">IF(Certidão!D242="","",CONCATENATE(Certidão!B242,"    ",Certidão!C242,"                                            ",Certidão!D242,"      ",Certidão!H242))</f>
        <v xml:space="preserve">6898-0000215-1    FUNDPERJ                                            0      </v>
      </c>
      <c r="C178" s="132"/>
    </row>
    <row r="179" spans="1:3" x14ac:dyDescent="0.2">
      <c r="A179" s="132"/>
      <c r="C179" s="132"/>
    </row>
    <row r="180" spans="1:3" x14ac:dyDescent="0.2">
      <c r="A180" s="132"/>
      <c r="B180" s="250" t="str">
        <f ca="1">IF(Certidão!D243="","",CONCATENATE(Certidão!B243,"                 ",Certidão!C243,"                      ",Certidão!D243,"      ",Certidão!H243))</f>
        <v xml:space="preserve">                 VALOR DEVIDO                      0      </v>
      </c>
      <c r="C180" s="132"/>
    </row>
    <row r="181" spans="1:3" x14ac:dyDescent="0.2">
      <c r="A181" s="132"/>
      <c r="B181" s="132"/>
      <c r="C181" s="132"/>
    </row>
    <row r="182" spans="1:3" x14ac:dyDescent="0.2">
      <c r="A182" s="132"/>
      <c r="B182" s="132"/>
      <c r="C182" s="132"/>
    </row>
    <row r="183" spans="1:3" ht="63.75" x14ac:dyDescent="0.2">
      <c r="A183" s="132"/>
      <c r="B183" s="440" t="str">
        <f>CONCATENATE("       ",I2," ",GRERJFINAL!C17,", ",J2)</f>
        <v xml:space="preserve">       Intime-se a parte , via D.J.E.R.J., para recolher as custas certificadas abaixo, segundo art. 31 da lei Estadual nº 3.350/99 (lei 6.369/2012). Havendo comprovação, dê-se baixa e arquive-se. Não havendo comprovação do recolhimento, expeça-se certidão ao FETJ. Após, arquive-se com ou sem baixa, conforme o caso."</v>
      </c>
      <c r="C183" s="132"/>
    </row>
    <row r="184" spans="1:3" x14ac:dyDescent="0.2">
      <c r="A184" s="132"/>
      <c r="B184" s="139" t="str">
        <f>IF(Certidão!D266="","",CONCATENATE("       Valores calculados na proporção de ",Certidão!D266,"%."))</f>
        <v/>
      </c>
      <c r="C184" s="132"/>
    </row>
    <row r="185" spans="1:3" x14ac:dyDescent="0.2">
      <c r="A185" s="132"/>
      <c r="C185" s="132"/>
    </row>
    <row r="186" spans="1:3" x14ac:dyDescent="0.2">
      <c r="A186" s="132"/>
      <c r="B186" s="251"/>
      <c r="C186" s="132"/>
    </row>
    <row r="187" spans="1:3" x14ac:dyDescent="0.2">
      <c r="A187" s="132"/>
      <c r="B187" s="139" t="str">
        <f ca="1">IF(Certidão!D269="","",CONCATENATE(Certidão!B269,"                 ",Certidão!C269,"                        ",Certidão!D269,"      ",Certidão!H269))</f>
        <v xml:space="preserve">1102-3                 Atos dos Escrivães                         0      </v>
      </c>
      <c r="C187" s="132"/>
    </row>
    <row r="188" spans="1:3" x14ac:dyDescent="0.2">
      <c r="A188" s="132"/>
      <c r="B188" s="139" t="str">
        <f ca="1">IF(Certidão!D270="","",CONCATENATE(Certidão!B270,"                 ",Certidão!C270,"          ",Certidão!D270,"      ",Certidão!H270))</f>
        <v xml:space="preserve">1104-9                 Porte de Remessa e de Retorno          0      </v>
      </c>
      <c r="C188" s="132"/>
    </row>
    <row r="189" spans="1:3" x14ac:dyDescent="0.2">
      <c r="A189" s="132"/>
      <c r="B189" s="139" t="str">
        <f ca="1">IF(Certidão!D271="","",CONCATENATE(Certidão!B271,"                 ",Certidão!C271,"                  ",Certidão!D271,"      ",Certidão!H271))</f>
        <v xml:space="preserve">1111-4                 Desarquivamento de autos                  0      </v>
      </c>
      <c r="C189" s="132"/>
    </row>
    <row r="190" spans="1:3" x14ac:dyDescent="0.2">
      <c r="A190" s="132"/>
      <c r="B190" s="139" t="str">
        <f ca="1">IF(Certidão!D272="","",CONCATENATE(Certidão!B272,"                 ",Certidão!C272,"                                   ",Certidão!D272,"      ",Certidão!H272))</f>
        <v xml:space="preserve">1107-2                 Atos dos OJAs                                   0      </v>
      </c>
      <c r="C190" s="132"/>
    </row>
    <row r="191" spans="1:3" x14ac:dyDescent="0.2">
      <c r="A191" s="132"/>
      <c r="B191" s="139" t="str">
        <f ca="1">IF(Certidão!D273="","",CONCATENATE(Certidão!B273,"                 ",Certidão!C273,"                                          ",Certidão!D273,"      ",Certidão!H273))</f>
        <v xml:space="preserve">1110-6                 Via Postal                                          0      </v>
      </c>
      <c r="C191" s="132"/>
    </row>
    <row r="192" spans="1:3" x14ac:dyDescent="0.2">
      <c r="A192" s="132"/>
      <c r="B192" s="139" t="str">
        <f ca="1">IF(Certidão!D274="","",CONCATENATE(Certidão!B274,"                 ",Certidão!C274,"                ",Certidão!D274,"      ",Certidão!H274))</f>
        <v xml:space="preserve">1109-8                 Atos dos Auxiliares do Juízo                0      </v>
      </c>
      <c r="C192" s="132"/>
    </row>
    <row r="193" spans="1:3" x14ac:dyDescent="0.2">
      <c r="A193" s="132"/>
      <c r="B193" s="139" t="str">
        <f>IF(Certidão!D275="","",CONCATENATE(Certidão!B275,"                 ",Certidão!C275,"           ",Certidão!D275,"      ",Certidão!H275))</f>
        <v/>
      </c>
      <c r="C193" s="132"/>
    </row>
    <row r="194" spans="1:3" x14ac:dyDescent="0.2">
      <c r="A194" s="132"/>
      <c r="B194" s="139" t="str">
        <f>IF(Certidão!D276="","",CONCATENATE(Certidão!B276,"                 ",Certidão!C276,"                                 ",Certidão!D276,"      ",Certidão!H276))</f>
        <v/>
      </c>
      <c r="C194" s="132"/>
    </row>
    <row r="195" spans="1:3" x14ac:dyDescent="0.2">
      <c r="A195" s="132"/>
      <c r="B195" s="139" t="str">
        <f ca="1">IF(Certidão!D277="","",CONCATENATE(Certidão!B277,"                 ",Certidão!C277,"                                     ",Certidão!D277,"      ",Certidão!H277))</f>
        <v xml:space="preserve">2001-6                 CAARJ / IAB                                     0      </v>
      </c>
      <c r="C195" s="132"/>
    </row>
    <row r="196" spans="1:3" x14ac:dyDescent="0.2">
      <c r="A196" s="132"/>
      <c r="B196" s="139" t="str">
        <f ca="1">IF(Certidão!D278="","",CONCATENATE(Certidão!B278,"    ",Certidão!C278,"                        ",Certidão!D278,"      ",Certidão!H278))</f>
        <v xml:space="preserve">    Atos dos Distribuidores                        0      </v>
      </c>
      <c r="C196" s="132"/>
    </row>
    <row r="197" spans="1:3" x14ac:dyDescent="0.2">
      <c r="A197" s="132"/>
      <c r="B197" s="139" t="str">
        <f>IF(Certidão!D279="","",CONCATENATE(Certidão!B279,"                 ",Certidão!C279,"      ",Certidão!D279,"      ",Certidão!H279))</f>
        <v/>
      </c>
      <c r="C197" s="132"/>
    </row>
    <row r="198" spans="1:3" x14ac:dyDescent="0.2">
      <c r="A198" s="132"/>
      <c r="B198" s="139" t="str">
        <f ca="1">IF(Certidão!D280="","",CONCATENATE(Certidão!B280,"    ",Certidão!C280,"                                                  ",Certidão!D280,"      ",Certidão!H280))</f>
        <v xml:space="preserve">6246-0088009-4    FETJ                                                  0      </v>
      </c>
      <c r="C198" s="132"/>
    </row>
    <row r="199" spans="1:3" x14ac:dyDescent="0.2">
      <c r="A199" s="132"/>
      <c r="B199" s="139" t="str">
        <f ca="1">IF(Certidão!D281="","",CONCATENATE(Certidão!B281,"                 ",Certidão!C281,"                                    ",Certidão!D281,"      ",Certidão!H281))</f>
        <v xml:space="preserve">2101-4                 Taxa Judiciária                                    0      </v>
      </c>
      <c r="C199" s="132"/>
    </row>
    <row r="200" spans="1:3" x14ac:dyDescent="0.2">
      <c r="A200" s="132"/>
      <c r="B200" s="139" t="str">
        <f ca="1">IF(Certidão!D282="","",CONCATENATE(Certidão!B282,"    ",Certidão!C282,"                                           ",Certidão!D282,"      ",Certidão!H282))</f>
        <v xml:space="preserve">6898-0000208-9    FUNPERJ                                           0      </v>
      </c>
      <c r="C200" s="132"/>
    </row>
    <row r="201" spans="1:3" x14ac:dyDescent="0.2">
      <c r="A201" s="132"/>
      <c r="B201" s="139" t="str">
        <f ca="1">IF(Certidão!D283="","",CONCATENATE(Certidão!B283,"    ",Certidão!C283,"                                         ",Certidão!D283,"      ",Certidão!H283))</f>
        <v xml:space="preserve">6898-0000215-1    FUNDPERJ                                         0      </v>
      </c>
      <c r="C201" s="132"/>
    </row>
    <row r="202" spans="1:3" x14ac:dyDescent="0.2">
      <c r="A202" s="132"/>
      <c r="B202" s="139" t="str">
        <f>IF(Certidão!D284="","",CONCATENATE(Certidão!B284,"    ",Certidão!C284,"                        ",Certidão!D284,"      ",Certidão!H284))</f>
        <v xml:space="preserve">                            0      </v>
      </c>
      <c r="C202" s="132"/>
    </row>
    <row r="203" spans="1:3" x14ac:dyDescent="0.2">
      <c r="A203" s="132"/>
      <c r="B203" s="139" t="str">
        <f>IF(Certidão!D285="","",CONCATENATE(Certidão!B285,"                 ",Certidão!C285,"      ",Certidão!D285,"      ",Certidão!H285))</f>
        <v/>
      </c>
      <c r="C203" s="132"/>
    </row>
    <row r="204" spans="1:3" x14ac:dyDescent="0.2">
      <c r="A204" s="132"/>
      <c r="B204" s="139" t="str">
        <f>IF(Certidão!D286="","",CONCATENATE(Certidão!B286,"    ",Certidão!C286,"                        ",Certidão!D286,"      ",Certidão!H286))</f>
        <v xml:space="preserve">                            0      </v>
      </c>
      <c r="C204" s="132"/>
    </row>
    <row r="205" spans="1:3" x14ac:dyDescent="0.2">
      <c r="A205" s="132"/>
      <c r="B205" s="139" t="str">
        <f>IF(Certidão!D287="","",CONCATENATE(Certidão!B287,"                 ",Certidão!C287,"      ",Certidão!D287,"      ",Certidão!H287))</f>
        <v/>
      </c>
      <c r="C205" s="132"/>
    </row>
    <row r="206" spans="1:3" x14ac:dyDescent="0.2">
      <c r="A206" s="132"/>
      <c r="B206" s="139" t="str">
        <f>IF(Certidão!D288="","",CONCATENATE(Certidão!B288,"    ",Certidão!C288,"                        ",Certidão!D288,"      ",Certidão!H288))</f>
        <v xml:space="preserve">                            0      </v>
      </c>
      <c r="C206" s="132"/>
    </row>
    <row r="207" spans="1:3" x14ac:dyDescent="0.2">
      <c r="A207" s="132"/>
      <c r="B207" s="139" t="str">
        <f>IF(Certidão!D289="","",CONCATENATE(Certidão!B289,"                 ",Certidão!C289,"      ",Certidão!D289,"      ",Certidão!H289))</f>
        <v/>
      </c>
      <c r="C207" s="132"/>
    </row>
    <row r="208" spans="1:3" x14ac:dyDescent="0.2">
      <c r="A208" s="132"/>
      <c r="B208" s="139" t="str">
        <f>IF(Certidão!D290="","",CONCATENATE(Certidão!B290,"    ",Certidão!C290,"                        ",Certidão!D290,"      ",Certidão!H290))</f>
        <v xml:space="preserve">                            0      </v>
      </c>
      <c r="C208" s="132"/>
    </row>
    <row r="209" spans="1:3" x14ac:dyDescent="0.2">
      <c r="A209" s="132"/>
      <c r="B209" s="139" t="str">
        <f>IF(Certidão!D291="","",CONCATENATE(Certidão!B291,"                 ",Certidão!C291,"      ",Certidão!D291,"      ",Certidão!H291))</f>
        <v/>
      </c>
      <c r="C209" s="132"/>
    </row>
    <row r="210" spans="1:3" x14ac:dyDescent="0.2">
      <c r="A210" s="132"/>
      <c r="B210" s="139" t="str">
        <f ca="1">IF(Certidão!D292="","",CONCATENATE(Certidão!B292,"                 ",Certidão!C292,"             ",Certidão!D292,"      ",Certidão!H292))</f>
        <v xml:space="preserve">                              0      </v>
      </c>
      <c r="C210" s="132"/>
    </row>
    <row r="211" spans="1:3" x14ac:dyDescent="0.2">
      <c r="A211" s="132"/>
      <c r="B211" s="139" t="str">
        <f ca="1">IF(Certidão!D293="","",CONCATENATE(Certidão!B293,"                 ",Certidão!C293,"               ",Certidão!D293,"      ",Certidão!H293))</f>
        <v xml:space="preserve">                                0      </v>
      </c>
      <c r="C211" s="132"/>
    </row>
    <row r="212" spans="1:3" x14ac:dyDescent="0.2">
      <c r="A212" s="132"/>
      <c r="B212" s="139" t="str">
        <f ca="1">IF(Certidão!D294="","",CONCATENATE(Certidão!B294,"                 ",Certidão!C294,"               ",Certidão!D294,"      ",Certidão!H294))</f>
        <v xml:space="preserve">                                0      </v>
      </c>
      <c r="C212" s="132"/>
    </row>
    <row r="213" spans="1:3" x14ac:dyDescent="0.2">
      <c r="A213" s="132"/>
      <c r="B213" s="139" t="str">
        <f ca="1">IF(Certidão!D295="","",CONCATENATE(Certidão!B295,"                 ",Certidão!C295,"               ",Certidão!D295,"      ",Certidão!H295))</f>
        <v xml:space="preserve">                                0      </v>
      </c>
      <c r="C213" s="132"/>
    </row>
    <row r="214" spans="1:3" x14ac:dyDescent="0.2">
      <c r="A214" s="132"/>
      <c r="C214" s="132"/>
    </row>
    <row r="215" spans="1:3" x14ac:dyDescent="0.2">
      <c r="A215" s="132"/>
      <c r="B215" s="139" t="str">
        <f ca="1">IF(Certidão!D296="","",CONCATENATE(Certidão!B296,"                 ",Certidão!C296,"                      ",Certidão!D296,"      ",Certidão!H296))</f>
        <v xml:space="preserve">                 VALOR DEVIDO                      0      </v>
      </c>
      <c r="C215" s="132"/>
    </row>
    <row r="216" spans="1:3" x14ac:dyDescent="0.2">
      <c r="A216" s="132"/>
      <c r="B216" s="139" t="str">
        <f>IF(Certidão!D298="","",CONCATENATE(Certidão!B298,"                 ",Certidão!C298,"                      ",Certidão!D298,"      ",Certidão!H298))</f>
        <v/>
      </c>
      <c r="C216" s="132"/>
    </row>
    <row r="217" spans="1:3" x14ac:dyDescent="0.2">
      <c r="A217" s="132"/>
      <c r="B217" s="139" t="str">
        <f ca="1">IF(Certidão!D306="","",CONCATENATE(Certidão!B298,"    ",Certidão!C298))</f>
        <v>Observação:     GRERJ 2ª Instância</v>
      </c>
      <c r="C217" s="132"/>
    </row>
    <row r="218" spans="1:3" x14ac:dyDescent="0.2">
      <c r="A218" s="132"/>
      <c r="C218" s="132"/>
    </row>
    <row r="219" spans="1:3" x14ac:dyDescent="0.2">
      <c r="A219" s="132"/>
      <c r="B219" s="139" t="str">
        <f ca="1">IF(Certidão!D301="","",CONCATENATE(Certidão!B301,"                 ",Certidão!C301,"           ",Certidão!D301,"      ",Certidão!H301))</f>
        <v xml:space="preserve">1101-5                 Atos da Secretaria do Tribunal           0      </v>
      </c>
      <c r="C219" s="132"/>
    </row>
    <row r="220" spans="1:3" x14ac:dyDescent="0.2">
      <c r="A220" s="132"/>
      <c r="B220" s="139" t="str">
        <f ca="1">IF(Certidão!D302="","",CONCATENATE(Certidão!B302,"                 ",Certidão!C302,"          ",Certidão!D302,"      ",Certidão!H302))</f>
        <v xml:space="preserve">1104-9                 Porte de Remessa e de Retorno          0      </v>
      </c>
      <c r="C220" s="132"/>
    </row>
    <row r="221" spans="1:3" x14ac:dyDescent="0.2">
      <c r="A221" s="132"/>
      <c r="B221" s="139" t="str">
        <f ca="1">IF(Certidão!D303="","",CONCATENATE(Certidão!B303,"                 ",Certidão!C303,"                                     ",Certidão!D303,"      ",Certidão!H303))</f>
        <v xml:space="preserve">2001-6                 CAARJ / IAB                                     0      </v>
      </c>
      <c r="C221" s="132"/>
    </row>
    <row r="222" spans="1:3" x14ac:dyDescent="0.2">
      <c r="A222" s="132"/>
      <c r="B222" s="139" t="str">
        <f ca="1">IF(Certidão!D304="","",CONCATENATE(Certidão!B304,"    ",Certidão!C304,"                                          ",Certidão!D304,"      ",Certidão!H304))</f>
        <v xml:space="preserve">6898-0000208-9    FUNPERJ                                          0      </v>
      </c>
      <c r="C222" s="132"/>
    </row>
    <row r="223" spans="1:3" x14ac:dyDescent="0.2">
      <c r="A223" s="132"/>
      <c r="B223" s="139" t="str">
        <f ca="1">IF(Certidão!D305="","",CONCATENATE(Certidão!B305,"    ",Certidão!C305,"                                        ",Certidão!D305,"      ",Certidão!H305))</f>
        <v xml:space="preserve">6898-0000215-1    FUNDPERJ                                        0      </v>
      </c>
      <c r="C223" s="132"/>
    </row>
    <row r="224" spans="1:3" x14ac:dyDescent="0.2">
      <c r="A224" s="132"/>
      <c r="C224" s="132"/>
    </row>
    <row r="225" spans="1:3" x14ac:dyDescent="0.2">
      <c r="A225" s="132"/>
      <c r="B225" s="139" t="str">
        <f ca="1">IF(Certidão!D306="","",CONCATENATE(Certidão!B306,"                 ",Certidão!C306,"                      ",Certidão!D306,"      ",Certidão!H306))</f>
        <v xml:space="preserve">                 VALOR DEVIDO                      0      </v>
      </c>
      <c r="C225" s="132"/>
    </row>
    <row r="226" spans="1:3" x14ac:dyDescent="0.2">
      <c r="A226" s="132"/>
      <c r="B226" s="132"/>
      <c r="C226" s="132"/>
    </row>
    <row r="227" spans="1:3" x14ac:dyDescent="0.2">
      <c r="A227" s="132"/>
      <c r="B227" s="132"/>
      <c r="C227" s="132"/>
    </row>
    <row r="228" spans="1:3" ht="63.75" x14ac:dyDescent="0.2">
      <c r="A228" s="132"/>
      <c r="B228" s="440" t="str">
        <f>CONCATENATE("       ",I2," ",GRERJFINAL!C19,", ",J2)</f>
        <v xml:space="preserve">       Intime-se a parte , via D.J.E.R.J., para recolher as custas certificadas abaixo, segundo art. 31 da lei Estadual nº 3.350/99 (lei 6.369/2012). Havendo comprovação, dê-se baixa e arquive-se. Não havendo comprovação do recolhimento, expeça-se certidão ao FETJ. Após, arquive-se com ou sem baixa, conforme o caso."</v>
      </c>
      <c r="C228" s="132"/>
    </row>
    <row r="229" spans="1:3" x14ac:dyDescent="0.2">
      <c r="A229" s="132"/>
      <c r="B229" s="139" t="str">
        <f>IF(Certidão!D329="","",CONCATENATE("       Valores calculados na proporção de ",Certidão!D329,"%."))</f>
        <v/>
      </c>
      <c r="C229" s="132"/>
    </row>
    <row r="230" spans="1:3" x14ac:dyDescent="0.2">
      <c r="A230" s="132"/>
      <c r="C230" s="132"/>
    </row>
    <row r="231" spans="1:3" x14ac:dyDescent="0.2">
      <c r="A231" s="132"/>
      <c r="B231" s="251"/>
      <c r="C231" s="132"/>
    </row>
    <row r="232" spans="1:3" x14ac:dyDescent="0.2">
      <c r="A232" s="132"/>
      <c r="B232" s="139" t="str">
        <f ca="1">IF(Certidão!D332="","",CONCATENATE(Certidão!B332,"                 ",Certidão!C332,"                        ",Certidão!D332,"      ",Certidão!H332))</f>
        <v xml:space="preserve">1102-3                 Atos dos Escrivães                         0      </v>
      </c>
      <c r="C232" s="132"/>
    </row>
    <row r="233" spans="1:3" x14ac:dyDescent="0.2">
      <c r="A233" s="132"/>
      <c r="B233" s="139" t="str">
        <f ca="1">IF(Certidão!D333="","",CONCATENATE(Certidão!B333,"                 ",Certidão!C333,"          ",Certidão!D333,"      ",Certidão!H333))</f>
        <v xml:space="preserve">1104-9                 Porte de Remessa e de Retorno          0      </v>
      </c>
      <c r="C233" s="132"/>
    </row>
    <row r="234" spans="1:3" x14ac:dyDescent="0.2">
      <c r="A234" s="132"/>
      <c r="B234" s="139" t="str">
        <f ca="1">IF(Certidão!D334="","",CONCATENATE(Certidão!B334,"                 ",Certidão!C334,"                   ",Certidão!D334,"      ",Certidão!H334))</f>
        <v xml:space="preserve">1111-4                 Desarquivamento de autos                   0      </v>
      </c>
      <c r="C234" s="132"/>
    </row>
    <row r="235" spans="1:3" x14ac:dyDescent="0.2">
      <c r="A235" s="132"/>
      <c r="B235" s="139" t="str">
        <f ca="1">IF(Certidão!D335="","",CONCATENATE(Certidão!B335,"                 ",Certidão!C335,"                                   ",Certidão!D335,"      ",Certidão!H335))</f>
        <v xml:space="preserve">1107-2                 Atos dos OJAs                                   0      </v>
      </c>
      <c r="C235" s="132"/>
    </row>
    <row r="236" spans="1:3" x14ac:dyDescent="0.2">
      <c r="A236" s="132"/>
      <c r="B236" s="139" t="str">
        <f ca="1">IF(Certidão!D336="","",CONCATENATE(Certidão!B336,"                 ",Certidão!C336,"                                          ",Certidão!D336,"      ",Certidão!H336))</f>
        <v xml:space="preserve">1110-6                 Via Postal                                          0      </v>
      </c>
      <c r="C236" s="132"/>
    </row>
    <row r="237" spans="1:3" x14ac:dyDescent="0.2">
      <c r="A237" s="132"/>
      <c r="B237" s="139" t="str">
        <f ca="1">IF(Certidão!D337="","",CONCATENATE(Certidão!B337,"                 ",Certidão!C337,"                ",Certidão!D337,"      ",Certidão!H337))</f>
        <v xml:space="preserve">1109-8                 Atos dos Auxiliares do Juízo                0      </v>
      </c>
      <c r="C237" s="132"/>
    </row>
    <row r="238" spans="1:3" x14ac:dyDescent="0.2">
      <c r="A238" s="132"/>
      <c r="B238" s="139" t="str">
        <f>IF(Certidão!D338="","",CONCATENATE(Certidão!B338,"                 ",Certidão!C338,"            ",Certidão!D338,"      ",Certidão!H338))</f>
        <v/>
      </c>
      <c r="C238" s="132"/>
    </row>
    <row r="239" spans="1:3" x14ac:dyDescent="0.2">
      <c r="A239" s="132"/>
      <c r="B239" s="139" t="str">
        <f>IF(Certidão!D339="","",CONCATENATE(Certidão!B339,"                 ",Certidão!C339,"                                ",Certidão!D339,"      ",Certidão!H339))</f>
        <v/>
      </c>
      <c r="C239" s="132"/>
    </row>
    <row r="240" spans="1:3" x14ac:dyDescent="0.2">
      <c r="A240" s="132"/>
      <c r="B240" s="139" t="str">
        <f ca="1">IF(Certidão!D340="","",CONCATENATE(Certidão!B340,"                 ",Certidão!C340,"                                     ",Certidão!D340,"      ",Certidão!H340))</f>
        <v xml:space="preserve">2001-6                 CAARJ / IAB                                     0      </v>
      </c>
      <c r="C240" s="132"/>
    </row>
    <row r="241" spans="1:3" x14ac:dyDescent="0.2">
      <c r="A241" s="132"/>
      <c r="B241" s="139" t="str">
        <f ca="1">IF(Certidão!D341="","",CONCATENATE(Certidão!B341,"    ",Certidão!C341,"                       ",Certidão!D341,"      ",Certidão!H341))</f>
        <v xml:space="preserve">    Atos dos Distribuidores                       0      </v>
      </c>
      <c r="C241" s="132"/>
    </row>
    <row r="242" spans="1:3" x14ac:dyDescent="0.2">
      <c r="A242" s="132"/>
      <c r="B242" s="139" t="str">
        <f>IF(Certidão!D342="","",CONCATENATE(Certidão!B342,"                 ",Certidão!C342,"     ",Certidão!D342,"      ",Certidão!H342))</f>
        <v/>
      </c>
      <c r="C242" s="132"/>
    </row>
    <row r="243" spans="1:3" x14ac:dyDescent="0.2">
      <c r="A243" s="132"/>
      <c r="B243" s="139" t="str">
        <f ca="1">IF(Certidão!D343="","",CONCATENATE(Certidão!B343,"    ",Certidão!C343,"                                                 ",Certidão!D343,"      ",Certidão!H343))</f>
        <v xml:space="preserve">6246-0088009-4    FETJ                                                 0      </v>
      </c>
      <c r="C243" s="132"/>
    </row>
    <row r="244" spans="1:3" x14ac:dyDescent="0.2">
      <c r="A244" s="132"/>
      <c r="B244" s="139" t="str">
        <f ca="1">IF(Certidão!D344="","",CONCATENATE(Certidão!B344,"                 ",Certidão!C344,"                                   ",Certidão!D344,"      ",Certidão!H344))</f>
        <v xml:space="preserve">2101-4                 Taxa Judiciária                                   0      </v>
      </c>
      <c r="C244" s="132"/>
    </row>
    <row r="245" spans="1:3" x14ac:dyDescent="0.2">
      <c r="A245" s="132"/>
      <c r="B245" s="139" t="str">
        <f ca="1">IF(Certidão!D345="","",CONCATENATE(Certidão!B345,"    ",Certidão!C345,"                                          ",Certidão!D345,"      ",Certidão!H345))</f>
        <v xml:space="preserve">6898-0000208-9    FUNPERJ                                          0      </v>
      </c>
      <c r="C245" s="132"/>
    </row>
    <row r="246" spans="1:3" x14ac:dyDescent="0.2">
      <c r="A246" s="132"/>
      <c r="B246" s="139" t="str">
        <f ca="1">IF(Certidão!D346="","",CONCATENATE(Certidão!B346,"    ",Certidão!C346,"                                        ",Certidão!D346,"      ",Certidão!H346))</f>
        <v xml:space="preserve">6898-0000215-1    FUNDPERJ                                        0      </v>
      </c>
      <c r="C246" s="132"/>
    </row>
    <row r="247" spans="1:3" x14ac:dyDescent="0.2">
      <c r="A247" s="132"/>
      <c r="B247" s="139" t="str">
        <f>IF(Certidão!D347="","",CONCATENATE(Certidão!B347,"    ",Certidão!C347,"                       ",Certidão!D347,"      ",Certidão!H347))</f>
        <v xml:space="preserve">                           0      </v>
      </c>
      <c r="C247" s="132"/>
    </row>
    <row r="248" spans="1:3" x14ac:dyDescent="0.2">
      <c r="A248" s="132"/>
      <c r="B248" s="139" t="str">
        <f>IF(Certidão!D348="","",CONCATENATE(Certidão!B348,"                 ",Certidão!C348,"     ",Certidão!D348,"      ",Certidão!H348))</f>
        <v/>
      </c>
      <c r="C248" s="132"/>
    </row>
    <row r="249" spans="1:3" x14ac:dyDescent="0.2">
      <c r="A249" s="132"/>
      <c r="B249" s="139" t="str">
        <f>IF(Certidão!D349="","",CONCATENATE(Certidão!B349,"    ",Certidão!C349,"                       ",Certidão!D349,"      ",Certidão!H349))</f>
        <v xml:space="preserve">                           0      </v>
      </c>
      <c r="C249" s="132"/>
    </row>
    <row r="250" spans="1:3" x14ac:dyDescent="0.2">
      <c r="A250" s="132"/>
      <c r="B250" s="139" t="str">
        <f>IF(Certidão!D350="","",CONCATENATE(Certidão!B350,"                 ",Certidão!C350,"     ",Certidão!D350,"      ",Certidão!H350))</f>
        <v/>
      </c>
      <c r="C250" s="132"/>
    </row>
    <row r="251" spans="1:3" x14ac:dyDescent="0.2">
      <c r="A251" s="132"/>
      <c r="B251" s="139" t="str">
        <f>IF(Certidão!D351="","",CONCATENATE(Certidão!B351,"    ",Certidão!C351,"                       ",Certidão!D351,"      ",Certidão!H351))</f>
        <v xml:space="preserve">                           0      </v>
      </c>
      <c r="C251" s="132"/>
    </row>
    <row r="252" spans="1:3" x14ac:dyDescent="0.2">
      <c r="A252" s="132"/>
      <c r="B252" s="139" t="str">
        <f>IF(Certidão!D352="","",CONCATENATE(Certidão!B352,"                 ",Certidão!C352,"     ",Certidão!D352,"      ",Certidão!H352))</f>
        <v/>
      </c>
      <c r="C252" s="132"/>
    </row>
    <row r="253" spans="1:3" x14ac:dyDescent="0.2">
      <c r="A253" s="132"/>
      <c r="B253" s="139" t="str">
        <f>IF(Certidão!D353="","",CONCATENATE(Certidão!B353,"    ",Certidão!C353,"                       ",Certidão!D353,"      ",Certidão!H353))</f>
        <v xml:space="preserve">                           0      </v>
      </c>
      <c r="C253" s="132"/>
    </row>
    <row r="254" spans="1:3" x14ac:dyDescent="0.2">
      <c r="A254" s="132"/>
      <c r="B254" s="139" t="str">
        <f>IF(Certidão!D354="","",CONCATENATE(Certidão!B354,"                 ",Certidão!C354,"     ",Certidão!D354,"      ",Certidão!H354))</f>
        <v/>
      </c>
      <c r="C254" s="132"/>
    </row>
    <row r="255" spans="1:3" x14ac:dyDescent="0.2">
      <c r="A255" s="132"/>
      <c r="B255" s="139" t="str">
        <f ca="1">IF(Certidão!D355="","",CONCATENATE(Certidão!B355,"                 ",Certidão!C355,"            ",Certidão!D355,"      ",Certidão!H355))</f>
        <v xml:space="preserve">                             0      </v>
      </c>
      <c r="C255" s="132"/>
    </row>
    <row r="256" spans="1:3" x14ac:dyDescent="0.2">
      <c r="A256" s="132"/>
      <c r="B256" s="139" t="str">
        <f ca="1">IF(Certidão!D356="","",CONCATENATE(Certidão!B356,"                 ",Certidão!C356,"              ",Certidão!D356,"      ",Certidão!H356))</f>
        <v xml:space="preserve">                               0      </v>
      </c>
      <c r="C256" s="132"/>
    </row>
    <row r="257" spans="1:3" x14ac:dyDescent="0.2">
      <c r="A257" s="132"/>
      <c r="B257" s="139" t="str">
        <f ca="1">IF(Certidão!D357="","",CONCATENATE(Certidão!B357,"                 ",Certidão!C357,"              ",Certidão!D357,"      ",Certidão!H357))</f>
        <v xml:space="preserve">                               0      </v>
      </c>
      <c r="C257" s="132"/>
    </row>
    <row r="258" spans="1:3" x14ac:dyDescent="0.2">
      <c r="A258" s="132"/>
      <c r="B258" s="139" t="str">
        <f ca="1">IF(Certidão!D358="","",CONCATENATE(Certidão!B358,"                 ",Certidão!C358,"              ",Certidão!D358,"      ",Certidão!H358))</f>
        <v xml:space="preserve">                               0      </v>
      </c>
      <c r="C258" s="132"/>
    </row>
    <row r="259" spans="1:3" x14ac:dyDescent="0.2">
      <c r="A259" s="132"/>
      <c r="C259" s="132"/>
    </row>
    <row r="260" spans="1:3" x14ac:dyDescent="0.2">
      <c r="A260" s="132"/>
      <c r="B260" s="139" t="str">
        <f ca="1">IF(Certidão!D359="","",CONCATENATE(Certidão!B359,"                 ",Certidão!C359,"                      ",Certidão!D359,"      ",Certidão!H359))</f>
        <v xml:space="preserve">                 VALOR DEVIDO                      0      </v>
      </c>
      <c r="C260" s="132"/>
    </row>
    <row r="261" spans="1:3" x14ac:dyDescent="0.2">
      <c r="A261" s="132"/>
      <c r="B261" s="139" t="str">
        <f>IF(Certidão!D361="","",CONCATENATE(Certidão!B361,"                 ",Certidão!C361,"                      ",Certidão!D361,"      ",Certidão!H361))</f>
        <v/>
      </c>
      <c r="C261" s="132"/>
    </row>
    <row r="262" spans="1:3" x14ac:dyDescent="0.2">
      <c r="A262" s="132"/>
      <c r="B262" s="139" t="str">
        <f ca="1">IF(Certidão!D369="","",CONCATENATE(Certidão!B361,"    ",Certidão!C361))</f>
        <v>Observação:     GRERJ 2ª Instância</v>
      </c>
      <c r="C262" s="132"/>
    </row>
    <row r="263" spans="1:3" x14ac:dyDescent="0.2">
      <c r="A263" s="132"/>
      <c r="C263" s="132"/>
    </row>
    <row r="264" spans="1:3" x14ac:dyDescent="0.2">
      <c r="A264" s="132"/>
      <c r="B264" s="139" t="str">
        <f ca="1">IF(Certidão!D364="","",CONCATENATE(Certidão!B364,"                 ",Certidão!C364,"            ",Certidão!D364,"      ",Certidão!H364))</f>
        <v xml:space="preserve">1101-5                 Atos da Secretaria do Tribunal            0      </v>
      </c>
      <c r="C264" s="132"/>
    </row>
    <row r="265" spans="1:3" x14ac:dyDescent="0.2">
      <c r="A265" s="132"/>
      <c r="B265" s="139" t="str">
        <f ca="1">IF(Certidão!D365="","",CONCATENATE(Certidão!B365,"                 ",Certidão!C365,"           ",Certidão!D365,"      ",Certidão!H365))</f>
        <v xml:space="preserve">1104-9                 Porte de Remessa e de Retorno           0      </v>
      </c>
      <c r="C265" s="132"/>
    </row>
    <row r="266" spans="1:3" x14ac:dyDescent="0.2">
      <c r="A266" s="132"/>
      <c r="B266" s="139" t="str">
        <f ca="1">IF(Certidão!D366="","",CONCATENATE(Certidão!B366,"                 ",Certidão!C366,"                                       ",Certidão!D366,"      ",Certidão!H366))</f>
        <v xml:space="preserve">2001-6                 CAARJ / IAB                                       0      </v>
      </c>
      <c r="C266" s="132"/>
    </row>
    <row r="267" spans="1:3" x14ac:dyDescent="0.2">
      <c r="A267" s="132"/>
      <c r="B267" s="139" t="str">
        <f ca="1">IF(Certidão!D367="","",CONCATENATE(Certidão!B367,"    ",Certidão!C367,"                                           ",Certidão!D367,"      ",Certidão!H367))</f>
        <v xml:space="preserve">6898-0000208-9    FUNPERJ                                           0      </v>
      </c>
      <c r="C267" s="132"/>
    </row>
    <row r="268" spans="1:3" x14ac:dyDescent="0.2">
      <c r="A268" s="132"/>
      <c r="B268" s="139" t="str">
        <f ca="1">IF(Certidão!D368="","",CONCATENATE(Certidão!B368,"    ",Certidão!C368,"                                         ",Certidão!D368,"      ",Certidão!H368))</f>
        <v xml:space="preserve">6898-0000215-1    FUNDPERJ                                         0      </v>
      </c>
      <c r="C268" s="132"/>
    </row>
    <row r="269" spans="1:3" x14ac:dyDescent="0.2">
      <c r="A269" s="132"/>
      <c r="C269" s="132"/>
    </row>
    <row r="270" spans="1:3" x14ac:dyDescent="0.2">
      <c r="A270" s="132"/>
      <c r="B270" s="139" t="str">
        <f ca="1">IF(Certidão!D369="","",CONCATENATE(Certidão!B369,"                 ",Certidão!C369,"                      ",Certidão!D369,"      ",Certidão!H369))</f>
        <v xml:space="preserve">                 VALOR DEVIDO                      0      </v>
      </c>
      <c r="C270" s="132"/>
    </row>
    <row r="271" spans="1:3" x14ac:dyDescent="0.2">
      <c r="A271" s="132"/>
      <c r="B271" s="132"/>
      <c r="C271" s="132"/>
    </row>
  </sheetData>
  <pageMargins left="0.74803149606299213" right="0.74803149606299213" top="1.1811023622047245" bottom="0.98425196850393704" header="0.51181102362204722" footer="0.51181102362204722"/>
  <pageSetup paperSize="9" firstPageNumber="0" orientation="portrait" horizontalDpi="300" verticalDpi="300" r:id="rId1"/>
  <headerFooter alignWithMargins="0">
    <oddHeader xml:space="preserve">&amp;L&amp;G&amp;CTRIBUNAL DE JUSTIÇA DO ESTADO DO RIO DE JANEIRO 
CENTRAL DE ARQUIVAMENTO NUR1
</oddHeader>
    <oddFooter>&amp;LFRM-CARQ-002-01&amp;CREV.: 00             Data: 20/04/2018&amp;R&amp;P</oddFooter>
  </headerFooter>
  <rowBreaks count="5" manualBreakCount="5">
    <brk id="46" max="16383" man="1"/>
    <brk id="91" max="16383" man="1"/>
    <brk id="136" max="16383" man="1"/>
    <brk id="181" max="16383" man="1"/>
    <brk id="226" max="16383" man="1"/>
  </rowBreaks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1" sqref="H21"/>
    </sheetView>
  </sheetViews>
  <sheetFormatPr defaultRowHeight="12.75" x14ac:dyDescent="0.2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4"/>
  <sheetViews>
    <sheetView showGridLines="0" view="pageBreakPreview" zoomScale="60" zoomScaleNormal="100" workbookViewId="0">
      <selection sqref="A1:XFD1"/>
    </sheetView>
  </sheetViews>
  <sheetFormatPr defaultRowHeight="12.75" x14ac:dyDescent="0.2"/>
  <cols>
    <col min="1" max="1" width="3.7109375" style="139" customWidth="1"/>
    <col min="2" max="2" width="67.28515625" style="139" customWidth="1"/>
    <col min="3" max="3" width="9.140625" style="139"/>
    <col min="4" max="4" width="10.7109375" style="139" customWidth="1"/>
    <col min="5" max="5" width="11.7109375" style="139" customWidth="1"/>
    <col min="6" max="16384" width="9.140625" style="139"/>
  </cols>
  <sheetData>
    <row r="1" spans="1:20" x14ac:dyDescent="0.2">
      <c r="A1" s="132"/>
      <c r="B1" s="132"/>
      <c r="C1" s="132"/>
      <c r="D1" s="132"/>
      <c r="E1" s="132"/>
      <c r="F1" s="132"/>
      <c r="G1" s="132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</row>
    <row r="2" spans="1:20" ht="3" customHeight="1" x14ac:dyDescent="0.2">
      <c r="A2" s="132"/>
      <c r="B2" s="154"/>
      <c r="C2" s="154"/>
      <c r="D2" s="154"/>
      <c r="E2" s="154"/>
      <c r="F2" s="154"/>
      <c r="G2" s="154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</row>
    <row r="3" spans="1:20" ht="22.5" x14ac:dyDescent="0.45">
      <c r="A3" s="132"/>
      <c r="B3" s="535" t="s">
        <v>237</v>
      </c>
      <c r="C3" s="535"/>
      <c r="D3" s="535"/>
      <c r="E3" s="535"/>
      <c r="F3" s="535"/>
      <c r="G3" s="535"/>
      <c r="H3" s="155"/>
      <c r="I3" s="155"/>
      <c r="J3" s="155"/>
      <c r="K3" s="155"/>
      <c r="L3" s="155"/>
      <c r="M3" s="155"/>
      <c r="N3" s="155"/>
      <c r="O3" s="155"/>
      <c r="P3" s="155"/>
      <c r="Q3" s="153"/>
      <c r="R3" s="153"/>
      <c r="S3" s="153"/>
      <c r="T3" s="153"/>
    </row>
    <row r="4" spans="1:20" ht="15.75" x14ac:dyDescent="0.25">
      <c r="A4" s="132"/>
      <c r="B4" s="543" t="s">
        <v>238</v>
      </c>
      <c r="C4" s="543"/>
      <c r="D4" s="543"/>
      <c r="E4" s="543"/>
      <c r="F4" s="543"/>
      <c r="G4" s="543"/>
      <c r="H4" s="156"/>
      <c r="I4" s="156"/>
      <c r="J4" s="156"/>
      <c r="K4" s="156"/>
      <c r="L4" s="156"/>
      <c r="M4" s="156"/>
      <c r="N4" s="156"/>
      <c r="O4" s="156"/>
      <c r="P4" s="156"/>
      <c r="Q4" s="153"/>
      <c r="R4" s="153"/>
      <c r="S4" s="153"/>
      <c r="T4" s="153"/>
    </row>
    <row r="5" spans="1:20" ht="3" customHeight="1" x14ac:dyDescent="0.2">
      <c r="A5" s="132"/>
      <c r="B5" s="154"/>
      <c r="C5" s="154"/>
      <c r="D5" s="154"/>
      <c r="E5" s="154"/>
      <c r="F5" s="154"/>
      <c r="G5" s="154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</row>
    <row r="6" spans="1:20" x14ac:dyDescent="0.2">
      <c r="A6" s="132"/>
      <c r="B6" s="132"/>
      <c r="C6" s="132"/>
      <c r="D6" s="132"/>
      <c r="E6" s="132"/>
      <c r="F6" s="157"/>
      <c r="G6" s="157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</row>
    <row r="7" spans="1:20" x14ac:dyDescent="0.2">
      <c r="A7" s="132"/>
      <c r="B7" s="132"/>
      <c r="C7" s="132"/>
      <c r="D7" s="132"/>
      <c r="E7" s="158" t="s">
        <v>4</v>
      </c>
      <c r="F7" s="544"/>
      <c r="G7" s="544"/>
      <c r="H7" s="160"/>
      <c r="I7" s="160"/>
      <c r="J7" s="160"/>
      <c r="K7" s="160"/>
      <c r="L7" s="160"/>
      <c r="M7" s="160"/>
      <c r="N7" s="160"/>
      <c r="O7" s="153"/>
      <c r="P7" s="153"/>
      <c r="Q7" s="153"/>
      <c r="R7" s="153"/>
      <c r="S7" s="153"/>
      <c r="T7" s="153"/>
    </row>
    <row r="8" spans="1:20" x14ac:dyDescent="0.2">
      <c r="A8" s="132"/>
      <c r="B8" s="132"/>
      <c r="C8" s="132"/>
      <c r="D8" s="132"/>
      <c r="E8" s="132"/>
      <c r="F8" s="132"/>
      <c r="G8" s="132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</row>
    <row r="9" spans="1:20" x14ac:dyDescent="0.2">
      <c r="A9" s="132"/>
      <c r="B9" s="88" t="s">
        <v>239</v>
      </c>
      <c r="C9" s="7"/>
      <c r="D9" s="7"/>
      <c r="E9" s="132"/>
      <c r="F9" s="132"/>
      <c r="G9" s="132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</row>
    <row r="10" spans="1:20" x14ac:dyDescent="0.2">
      <c r="A10" s="132"/>
      <c r="B10" s="15" t="s">
        <v>240</v>
      </c>
      <c r="C10" s="16"/>
      <c r="D10" s="52">
        <f ca="1">IF('Atos Serv. Jud. Lei. 6369'!Q4=0,"Bloqueado",IF(C10="",0,C10*154.86))</f>
        <v>0</v>
      </c>
      <c r="E10" s="132"/>
      <c r="F10" s="132"/>
      <c r="G10" s="132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</row>
    <row r="11" spans="1:20" ht="6.75" customHeight="1" x14ac:dyDescent="0.2">
      <c r="A11" s="132"/>
      <c r="B11" s="18"/>
      <c r="C11" s="7"/>
      <c r="D11" s="25"/>
      <c r="E11" s="416"/>
      <c r="F11" s="157"/>
      <c r="G11" s="157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</row>
    <row r="12" spans="1:20" ht="63.75" x14ac:dyDescent="0.2">
      <c r="A12" s="132"/>
      <c r="B12" s="161" t="s">
        <v>241</v>
      </c>
      <c r="C12" s="27"/>
      <c r="D12" s="28">
        <f ca="1">IF('Atos Serv. Jud. Lei. 6369'!Q4=0,"Bloqueado",IF(C12="",0,C12*79.01))</f>
        <v>0</v>
      </c>
      <c r="E12" s="416"/>
      <c r="F12" s="157"/>
      <c r="G12" s="157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</row>
    <row r="13" spans="1:20" ht="6.75" customHeight="1" x14ac:dyDescent="0.2">
      <c r="A13" s="132"/>
      <c r="B13" s="72"/>
      <c r="C13" s="7"/>
      <c r="D13" s="25"/>
      <c r="E13" s="416"/>
      <c r="F13" s="157"/>
      <c r="G13" s="157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</row>
    <row r="14" spans="1:20" x14ac:dyDescent="0.2">
      <c r="A14" s="132"/>
      <c r="B14" s="18" t="s">
        <v>242</v>
      </c>
      <c r="C14" s="20"/>
      <c r="D14" s="25">
        <f ca="1">IF('Atos Serv. Jud. Lei. 6369'!Q4=0,"Bloqueado",IF(C14="",0,C14*39.48))</f>
        <v>0</v>
      </c>
      <c r="E14" s="416"/>
      <c r="F14" s="157"/>
      <c r="G14" s="157"/>
      <c r="K14" s="153"/>
      <c r="L14" s="153"/>
      <c r="M14" s="153"/>
      <c r="N14" s="153"/>
      <c r="O14" s="153"/>
      <c r="P14" s="153"/>
      <c r="Q14" s="153"/>
      <c r="R14" s="153"/>
      <c r="S14" s="153"/>
      <c r="T14" s="153"/>
    </row>
    <row r="15" spans="1:20" ht="6.75" customHeight="1" x14ac:dyDescent="0.2">
      <c r="A15" s="132"/>
      <c r="B15" s="18"/>
      <c r="C15" s="7"/>
      <c r="D15" s="25"/>
      <c r="E15" s="416"/>
      <c r="F15" s="157"/>
      <c r="G15" s="157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</row>
    <row r="16" spans="1:20" ht="63.75" x14ac:dyDescent="0.2">
      <c r="A16" s="132"/>
      <c r="B16" s="415" t="s">
        <v>243</v>
      </c>
      <c r="C16" s="20"/>
      <c r="D16" s="356">
        <f ca="1">IF('Atos Serv. Jud. Lei. 6369'!Q4=0,"Bloqueado",IF(C16="",0,C16*256.8))</f>
        <v>0</v>
      </c>
      <c r="E16" s="416"/>
      <c r="F16" s="157"/>
      <c r="G16" s="157"/>
      <c r="K16" s="153"/>
      <c r="L16" s="153"/>
      <c r="M16" s="153"/>
      <c r="N16" s="153"/>
      <c r="O16" s="153"/>
      <c r="P16" s="153"/>
      <c r="Q16" s="153"/>
      <c r="R16" s="153"/>
      <c r="S16" s="153"/>
      <c r="T16" s="153"/>
    </row>
    <row r="17" spans="1:20" x14ac:dyDescent="0.2">
      <c r="A17" s="132"/>
      <c r="B17" s="412" t="s">
        <v>244</v>
      </c>
      <c r="C17" s="413"/>
      <c r="D17" s="356">
        <f ca="1">IF('Atos Serv. Jud. Lei. 6369'!Q4=0,"Bloqueado",IF(C17="",0,C17*83.15))</f>
        <v>0</v>
      </c>
      <c r="E17" s="416"/>
      <c r="F17" s="157"/>
      <c r="G17" s="157"/>
      <c r="K17" s="153"/>
      <c r="L17" s="153"/>
      <c r="M17" s="153"/>
      <c r="N17" s="153"/>
      <c r="O17" s="153"/>
      <c r="P17" s="153"/>
      <c r="Q17" s="153"/>
      <c r="R17" s="153"/>
      <c r="S17" s="153"/>
      <c r="T17" s="153"/>
    </row>
    <row r="18" spans="1:20" ht="6.75" customHeight="1" x14ac:dyDescent="0.2">
      <c r="A18" s="132"/>
      <c r="B18" s="18"/>
      <c r="C18" s="65"/>
      <c r="D18" s="25"/>
      <c r="E18" s="416"/>
      <c r="F18" s="157"/>
      <c r="G18" s="157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</row>
    <row r="19" spans="1:20" x14ac:dyDescent="0.2">
      <c r="A19" s="132"/>
      <c r="B19" s="18" t="s">
        <v>245</v>
      </c>
      <c r="C19" s="20"/>
      <c r="D19" s="25">
        <f ca="1">IF('Atos Serv. Jud. Lei. 6369'!Q4=0,"Bloqueado",IF(C19=0,0,IF(C19=1,150.38,150.38+((C19-1)*31.97))))</f>
        <v>0</v>
      </c>
      <c r="E19" s="416"/>
      <c r="F19" s="157"/>
      <c r="G19" s="157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</row>
    <row r="20" spans="1:20" ht="6.75" customHeight="1" x14ac:dyDescent="0.2">
      <c r="A20" s="132"/>
      <c r="B20" s="18"/>
      <c r="C20" s="7"/>
      <c r="D20" s="25"/>
      <c r="E20" s="416"/>
      <c r="F20" s="157"/>
      <c r="G20" s="157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</row>
    <row r="21" spans="1:20" x14ac:dyDescent="0.2">
      <c r="A21" s="132"/>
      <c r="B21" s="18" t="s">
        <v>246</v>
      </c>
      <c r="C21" s="20"/>
      <c r="D21" s="25">
        <f ca="1">IF('Atos Serv. Jud. Lei. 6369'!Q4=0,"Bloqueado",IF(C21="",0,C21*76.76))</f>
        <v>0</v>
      </c>
      <c r="E21" s="416"/>
      <c r="F21" s="157"/>
      <c r="G21" s="157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</row>
    <row r="22" spans="1:20" ht="6.75" customHeight="1" x14ac:dyDescent="0.2">
      <c r="A22" s="132"/>
      <c r="B22" s="18"/>
      <c r="C22" s="7"/>
      <c r="D22" s="25"/>
      <c r="E22" s="416"/>
      <c r="F22" s="157"/>
      <c r="G22" s="157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</row>
    <row r="23" spans="1:20" x14ac:dyDescent="0.2">
      <c r="A23" s="132"/>
      <c r="B23" s="162" t="s">
        <v>247</v>
      </c>
      <c r="C23" s="20"/>
      <c r="D23" s="25"/>
      <c r="E23" s="416"/>
      <c r="F23" s="157"/>
      <c r="G23" s="157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</row>
    <row r="24" spans="1:20" ht="6.75" customHeight="1" x14ac:dyDescent="0.2">
      <c r="A24" s="132"/>
      <c r="B24" s="18"/>
      <c r="C24" s="7"/>
      <c r="D24" s="25"/>
      <c r="E24" s="416"/>
      <c r="F24" s="157"/>
      <c r="G24" s="157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</row>
    <row r="25" spans="1:20" x14ac:dyDescent="0.2">
      <c r="A25" s="132"/>
      <c r="B25" s="18" t="s">
        <v>248</v>
      </c>
      <c r="C25" s="20"/>
      <c r="D25" s="25">
        <f ca="1">IF('Atos Serv. Jud. Lei. 6369'!Q4=0,"Bloqueado",IF(C25="",0,C25*79.01))</f>
        <v>0</v>
      </c>
      <c r="E25" s="416"/>
      <c r="F25" s="157"/>
      <c r="G25" s="157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</row>
    <row r="26" spans="1:20" ht="6.75" customHeight="1" x14ac:dyDescent="0.2">
      <c r="A26" s="132"/>
      <c r="B26" s="18"/>
      <c r="C26" s="7"/>
      <c r="D26" s="25"/>
      <c r="E26" s="416"/>
      <c r="F26" s="157"/>
      <c r="G26" s="157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</row>
    <row r="27" spans="1:20" x14ac:dyDescent="0.2">
      <c r="A27" s="132"/>
      <c r="B27" s="18" t="s">
        <v>249</v>
      </c>
      <c r="C27" s="20"/>
      <c r="D27" s="25">
        <f ca="1">IF('Atos Serv. Jud. Lei. 6369'!Q4=0,"Bloqueado",IF(C27="",0,IF(C27=1,15.87,15.87+((C27-1)*3.17))))</f>
        <v>0</v>
      </c>
      <c r="E27" s="416"/>
      <c r="F27" s="157"/>
      <c r="G27" s="157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</row>
    <row r="28" spans="1:20" ht="6.75" customHeight="1" x14ac:dyDescent="0.2">
      <c r="A28" s="132"/>
      <c r="B28" s="18"/>
      <c r="C28" s="7"/>
      <c r="D28" s="25"/>
      <c r="E28" s="416"/>
      <c r="F28" s="157"/>
      <c r="G28" s="157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</row>
    <row r="29" spans="1:20" ht="6.75" customHeight="1" x14ac:dyDescent="0.2">
      <c r="A29" s="132"/>
      <c r="B29" s="18"/>
      <c r="C29" s="65"/>
      <c r="D29" s="25"/>
      <c r="E29" s="416"/>
      <c r="F29" s="157"/>
      <c r="G29" s="157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</row>
    <row r="30" spans="1:20" x14ac:dyDescent="0.2">
      <c r="A30" s="132"/>
      <c r="B30" s="73" t="s">
        <v>91</v>
      </c>
      <c r="C30" s="84"/>
      <c r="D30" s="60">
        <f ca="1">SUM(D10:D27)</f>
        <v>0</v>
      </c>
      <c r="E30" s="416"/>
      <c r="F30" s="157"/>
      <c r="G30" s="157"/>
      <c r="H30" s="153"/>
      <c r="I30" s="153"/>
      <c r="J30" s="153"/>
      <c r="K30" s="153"/>
      <c r="L30" s="153"/>
      <c r="M30" s="153"/>
      <c r="N30" s="153"/>
      <c r="O30" s="153"/>
      <c r="P30" s="153"/>
      <c r="Q30" s="153"/>
      <c r="R30" s="153"/>
      <c r="S30" s="153"/>
      <c r="T30" s="153"/>
    </row>
    <row r="31" spans="1:20" x14ac:dyDescent="0.2">
      <c r="A31" s="132"/>
      <c r="B31" s="50"/>
      <c r="C31" s="7"/>
      <c r="D31" s="44"/>
      <c r="E31" s="6"/>
      <c r="F31" s="132"/>
      <c r="G31" s="132"/>
      <c r="H31" s="153"/>
      <c r="I31" s="153"/>
      <c r="J31" s="153"/>
      <c r="K31" s="153"/>
      <c r="L31" s="153"/>
      <c r="M31" s="153"/>
      <c r="N31" s="153"/>
      <c r="O31" s="153"/>
      <c r="P31" s="153"/>
      <c r="Q31" s="153"/>
      <c r="R31" s="153"/>
      <c r="S31" s="153"/>
      <c r="T31" s="153"/>
    </row>
    <row r="32" spans="1:20" x14ac:dyDescent="0.2">
      <c r="A32" s="6"/>
      <c r="B32" s="88" t="s">
        <v>94</v>
      </c>
      <c r="C32" s="7"/>
      <c r="D32" s="44"/>
      <c r="E32" s="416"/>
      <c r="F32" s="132"/>
      <c r="G32" s="132"/>
    </row>
    <row r="33" spans="1:7" ht="25.5" x14ac:dyDescent="0.2">
      <c r="A33" s="6"/>
      <c r="B33" s="45" t="s">
        <v>95</v>
      </c>
      <c r="C33" s="46"/>
      <c r="D33" s="47">
        <f ca="1">IF('Atos Serv. Jud. Lei. 6369'!Q4=0,"Bloqueado",IF(C33=0,0,22.97*C33))</f>
        <v>0</v>
      </c>
      <c r="E33" s="416"/>
      <c r="F33" s="132"/>
      <c r="G33" s="132"/>
    </row>
    <row r="34" spans="1:7" ht="6.75" customHeight="1" x14ac:dyDescent="0.2">
      <c r="A34" s="6"/>
      <c r="B34" s="72"/>
      <c r="C34" s="7"/>
      <c r="D34" s="25"/>
      <c r="E34" s="416"/>
      <c r="F34" s="132"/>
      <c r="G34" s="132"/>
    </row>
    <row r="35" spans="1:7" x14ac:dyDescent="0.2">
      <c r="A35" s="132"/>
      <c r="B35" s="18" t="s">
        <v>250</v>
      </c>
      <c r="C35" s="65"/>
      <c r="D35" s="25">
        <f ca="1">IF('Atos Serv. Jud. Lei. 6369'!Q4=0,"Bloqueado",IF('Rec. Esp. e Ext.'!M11&gt;1,"ERRO",'Rec. Esp. e Ext.'!D27))</f>
        <v>0</v>
      </c>
      <c r="E35" s="545"/>
      <c r="F35" s="545"/>
      <c r="G35" s="545"/>
    </row>
    <row r="36" spans="1:7" ht="6.75" customHeight="1" x14ac:dyDescent="0.2">
      <c r="A36" s="132"/>
      <c r="B36" s="18"/>
      <c r="C36" s="65"/>
      <c r="D36" s="25"/>
      <c r="E36" s="416"/>
      <c r="F36" s="157"/>
      <c r="G36" s="157"/>
    </row>
    <row r="37" spans="1:7" x14ac:dyDescent="0.2">
      <c r="A37" s="132"/>
      <c r="B37" s="63" t="s">
        <v>251</v>
      </c>
      <c r="C37" s="163"/>
      <c r="D37" s="60">
        <f ca="1">IF('Atos Serv. Jud. Lei. 6369'!Q4=0,"Bloqueado",IF('Rec. Esp. e Ext.'!M13&gt;1,"ERRO",'Rec. Esp. e Ext.'!J73))</f>
        <v>0</v>
      </c>
      <c r="E37" s="545"/>
      <c r="F37" s="545"/>
      <c r="G37" s="545"/>
    </row>
    <row r="38" spans="1:7" x14ac:dyDescent="0.2">
      <c r="A38" s="132"/>
      <c r="B38" s="50"/>
      <c r="C38" s="65"/>
      <c r="D38" s="44"/>
      <c r="E38" s="483"/>
      <c r="F38" s="483"/>
      <c r="G38" s="483"/>
    </row>
    <row r="39" spans="1:7" x14ac:dyDescent="0.2">
      <c r="A39" s="153"/>
      <c r="B39" s="491"/>
      <c r="C39" s="492"/>
      <c r="D39" s="493"/>
      <c r="E39" s="494"/>
      <c r="F39" s="494"/>
      <c r="G39" s="494"/>
    </row>
    <row r="40" spans="1:7" x14ac:dyDescent="0.2">
      <c r="A40" s="153"/>
      <c r="B40" s="491"/>
      <c r="C40" s="492"/>
      <c r="D40" s="493"/>
      <c r="E40" s="494"/>
      <c r="F40" s="494"/>
      <c r="G40" s="494"/>
    </row>
    <row r="41" spans="1:7" x14ac:dyDescent="0.2">
      <c r="A41" s="153"/>
      <c r="B41" s="491"/>
      <c r="C41" s="492"/>
      <c r="D41" s="493"/>
      <c r="E41" s="494"/>
      <c r="F41" s="494"/>
      <c r="G41" s="494"/>
    </row>
    <row r="42" spans="1:7" x14ac:dyDescent="0.2">
      <c r="A42" s="153"/>
      <c r="B42" s="491"/>
      <c r="C42" s="492"/>
      <c r="D42" s="493"/>
      <c r="E42" s="494"/>
      <c r="F42" s="494"/>
      <c r="G42" s="494"/>
    </row>
    <row r="43" spans="1:7" x14ac:dyDescent="0.2">
      <c r="A43" s="153"/>
      <c r="B43" s="491"/>
      <c r="C43" s="492"/>
      <c r="D43" s="493"/>
      <c r="E43" s="494"/>
      <c r="F43" s="494"/>
      <c r="G43" s="494"/>
    </row>
    <row r="44" spans="1:7" x14ac:dyDescent="0.2">
      <c r="A44" s="153"/>
      <c r="B44" s="491"/>
      <c r="C44" s="492"/>
      <c r="D44" s="493"/>
      <c r="E44" s="494"/>
      <c r="F44" s="494"/>
      <c r="G44" s="494"/>
    </row>
    <row r="45" spans="1:7" x14ac:dyDescent="0.2">
      <c r="A45" s="153"/>
      <c r="B45" s="491"/>
      <c r="C45" s="492"/>
      <c r="D45" s="493"/>
      <c r="E45" s="494"/>
      <c r="F45" s="494"/>
      <c r="G45" s="494"/>
    </row>
    <row r="46" spans="1:7" x14ac:dyDescent="0.2">
      <c r="A46" s="153"/>
      <c r="B46" s="491"/>
      <c r="C46" s="492"/>
      <c r="D46" s="493"/>
      <c r="E46" s="494"/>
      <c r="F46" s="494"/>
      <c r="G46" s="494"/>
    </row>
    <row r="47" spans="1:7" x14ac:dyDescent="0.2">
      <c r="A47" s="153"/>
      <c r="B47" s="491"/>
      <c r="C47" s="492"/>
      <c r="D47" s="493"/>
      <c r="E47" s="494"/>
      <c r="F47" s="494"/>
      <c r="G47" s="494"/>
    </row>
    <row r="48" spans="1:7" x14ac:dyDescent="0.2">
      <c r="A48" s="153"/>
      <c r="B48" s="491"/>
      <c r="C48" s="492"/>
      <c r="D48" s="493"/>
      <c r="E48" s="494"/>
      <c r="F48" s="494"/>
      <c r="G48" s="494"/>
    </row>
    <row r="49" spans="1:7" x14ac:dyDescent="0.2">
      <c r="A49" s="153"/>
      <c r="B49" s="491"/>
      <c r="C49" s="492"/>
      <c r="D49" s="493"/>
      <c r="E49" s="494"/>
      <c r="F49" s="494"/>
      <c r="G49" s="494"/>
    </row>
    <row r="50" spans="1:7" x14ac:dyDescent="0.2">
      <c r="A50" s="153"/>
      <c r="B50" s="491"/>
      <c r="C50" s="492"/>
      <c r="D50" s="493"/>
      <c r="E50" s="494"/>
      <c r="F50" s="494"/>
      <c r="G50" s="494"/>
    </row>
    <row r="51" spans="1:7" x14ac:dyDescent="0.2">
      <c r="A51" s="153"/>
      <c r="B51" s="491"/>
      <c r="C51" s="492"/>
      <c r="D51" s="493"/>
      <c r="E51" s="494"/>
      <c r="F51" s="494"/>
      <c r="G51" s="494"/>
    </row>
    <row r="52" spans="1:7" x14ac:dyDescent="0.2">
      <c r="A52" s="153"/>
      <c r="B52" s="491"/>
      <c r="C52" s="492"/>
      <c r="D52" s="493"/>
      <c r="E52" s="494"/>
      <c r="F52" s="494"/>
      <c r="G52" s="494"/>
    </row>
    <row r="53" spans="1:7" x14ac:dyDescent="0.2">
      <c r="A53" s="153"/>
      <c r="B53" s="491"/>
      <c r="C53" s="492"/>
      <c r="D53" s="493"/>
      <c r="E53" s="494"/>
      <c r="F53" s="494"/>
      <c r="G53" s="494"/>
    </row>
    <row r="54" spans="1:7" x14ac:dyDescent="0.2">
      <c r="A54" s="153"/>
      <c r="B54" s="491"/>
      <c r="C54" s="492"/>
      <c r="D54" s="493"/>
      <c r="E54" s="494"/>
      <c r="F54" s="494"/>
      <c r="G54" s="494"/>
    </row>
    <row r="55" spans="1:7" x14ac:dyDescent="0.2">
      <c r="A55" s="153"/>
      <c r="B55" s="491"/>
      <c r="C55" s="492"/>
      <c r="D55" s="493"/>
      <c r="E55" s="494"/>
      <c r="F55" s="494"/>
      <c r="G55" s="494"/>
    </row>
    <row r="56" spans="1:7" x14ac:dyDescent="0.2">
      <c r="A56" s="153"/>
      <c r="B56" s="491"/>
      <c r="C56" s="492"/>
      <c r="D56" s="493"/>
      <c r="E56" s="494"/>
      <c r="F56" s="494"/>
      <c r="G56" s="494"/>
    </row>
    <row r="57" spans="1:7" x14ac:dyDescent="0.2">
      <c r="A57" s="153"/>
      <c r="B57" s="491"/>
      <c r="C57" s="492"/>
      <c r="D57" s="493"/>
      <c r="E57" s="494"/>
      <c r="F57" s="494"/>
      <c r="G57" s="494"/>
    </row>
    <row r="58" spans="1:7" x14ac:dyDescent="0.2">
      <c r="A58" s="153"/>
      <c r="B58" s="491"/>
      <c r="C58" s="492"/>
      <c r="D58" s="493"/>
      <c r="E58" s="494"/>
      <c r="F58" s="494"/>
      <c r="G58" s="494"/>
    </row>
    <row r="59" spans="1:7" x14ac:dyDescent="0.2">
      <c r="A59" s="153"/>
      <c r="B59" s="491"/>
      <c r="C59" s="492"/>
      <c r="D59" s="493"/>
      <c r="E59" s="494"/>
      <c r="F59" s="494"/>
      <c r="G59" s="494"/>
    </row>
    <row r="60" spans="1:7" x14ac:dyDescent="0.2">
      <c r="A60" s="153"/>
      <c r="B60" s="491"/>
      <c r="C60" s="492"/>
      <c r="D60" s="493"/>
      <c r="E60" s="494"/>
      <c r="F60" s="494"/>
      <c r="G60" s="494"/>
    </row>
    <row r="61" spans="1:7" x14ac:dyDescent="0.2">
      <c r="A61" s="153"/>
      <c r="B61" s="491"/>
      <c r="C61" s="492"/>
      <c r="D61" s="493"/>
      <c r="E61" s="494"/>
      <c r="F61" s="494"/>
      <c r="G61" s="494"/>
    </row>
    <row r="62" spans="1:7" x14ac:dyDescent="0.2">
      <c r="A62" s="153"/>
      <c r="B62" s="491"/>
      <c r="C62" s="492"/>
      <c r="D62" s="493"/>
      <c r="E62" s="494"/>
      <c r="F62" s="494"/>
      <c r="G62" s="494"/>
    </row>
    <row r="63" spans="1:7" x14ac:dyDescent="0.2">
      <c r="A63" s="153"/>
      <c r="B63" s="491"/>
      <c r="C63" s="492"/>
      <c r="D63" s="493"/>
      <c r="E63" s="494"/>
      <c r="F63" s="494"/>
      <c r="G63" s="494"/>
    </row>
    <row r="64" spans="1:7" x14ac:dyDescent="0.2">
      <c r="A64" s="153"/>
      <c r="B64" s="491"/>
      <c r="C64" s="492"/>
      <c r="D64" s="493"/>
      <c r="E64" s="494"/>
      <c r="F64" s="494"/>
      <c r="G64" s="494"/>
    </row>
    <row r="65" spans="1:7" x14ac:dyDescent="0.2">
      <c r="A65" s="153"/>
      <c r="B65" s="491"/>
      <c r="C65" s="492"/>
      <c r="D65" s="493"/>
      <c r="E65" s="494"/>
      <c r="F65" s="494"/>
      <c r="G65" s="494"/>
    </row>
    <row r="66" spans="1:7" x14ac:dyDescent="0.2">
      <c r="A66" s="153"/>
      <c r="B66" s="491"/>
      <c r="C66" s="492"/>
      <c r="D66" s="493"/>
      <c r="E66" s="494"/>
      <c r="F66" s="494"/>
      <c r="G66" s="494"/>
    </row>
    <row r="67" spans="1:7" x14ac:dyDescent="0.2">
      <c r="A67" s="153"/>
      <c r="B67" s="491"/>
      <c r="C67" s="492"/>
      <c r="D67" s="493"/>
      <c r="E67" s="494"/>
      <c r="F67" s="494"/>
      <c r="G67" s="494"/>
    </row>
    <row r="68" spans="1:7" x14ac:dyDescent="0.2">
      <c r="A68" s="153"/>
      <c r="B68" s="491"/>
      <c r="C68" s="492"/>
      <c r="D68" s="493"/>
      <c r="E68" s="494"/>
      <c r="F68" s="494"/>
      <c r="G68" s="494"/>
    </row>
    <row r="69" spans="1:7" x14ac:dyDescent="0.2">
      <c r="A69" s="153"/>
      <c r="B69" s="491"/>
      <c r="C69" s="492"/>
      <c r="D69" s="493"/>
      <c r="E69" s="494"/>
      <c r="F69" s="494"/>
      <c r="G69" s="494"/>
    </row>
    <row r="70" spans="1:7" x14ac:dyDescent="0.2">
      <c r="A70" s="153"/>
      <c r="B70" s="491"/>
      <c r="C70" s="492"/>
      <c r="D70" s="493"/>
      <c r="E70" s="494"/>
      <c r="F70" s="494"/>
      <c r="G70" s="494"/>
    </row>
    <row r="71" spans="1:7" x14ac:dyDescent="0.2">
      <c r="A71" s="153"/>
      <c r="B71" s="491"/>
      <c r="C71" s="492"/>
      <c r="D71" s="493"/>
      <c r="E71" s="494"/>
      <c r="F71" s="494"/>
      <c r="G71" s="494"/>
    </row>
    <row r="72" spans="1:7" x14ac:dyDescent="0.2">
      <c r="A72" s="153"/>
      <c r="B72" s="491"/>
      <c r="C72" s="492"/>
      <c r="D72" s="493"/>
      <c r="E72" s="494"/>
      <c r="F72" s="494"/>
      <c r="G72" s="494"/>
    </row>
    <row r="73" spans="1:7" x14ac:dyDescent="0.2">
      <c r="A73" s="153"/>
      <c r="B73" s="491"/>
      <c r="C73" s="492"/>
      <c r="D73" s="493"/>
      <c r="E73" s="494"/>
      <c r="F73" s="494"/>
      <c r="G73" s="494"/>
    </row>
    <row r="74" spans="1:7" x14ac:dyDescent="0.2">
      <c r="A74" s="153"/>
      <c r="B74" s="491"/>
      <c r="C74" s="492"/>
      <c r="D74" s="493"/>
      <c r="E74" s="494"/>
      <c r="F74" s="494"/>
      <c r="G74" s="494"/>
    </row>
    <row r="75" spans="1:7" x14ac:dyDescent="0.2">
      <c r="A75" s="153"/>
      <c r="B75" s="491"/>
      <c r="C75" s="492"/>
      <c r="D75" s="493"/>
      <c r="E75" s="494"/>
      <c r="F75" s="494"/>
      <c r="G75" s="494"/>
    </row>
    <row r="76" spans="1:7" x14ac:dyDescent="0.2">
      <c r="A76" s="153"/>
      <c r="B76" s="491"/>
      <c r="C76" s="492"/>
      <c r="D76" s="493"/>
      <c r="E76" s="494"/>
      <c r="F76" s="494"/>
      <c r="G76" s="494"/>
    </row>
    <row r="77" spans="1:7" x14ac:dyDescent="0.2">
      <c r="A77" s="153"/>
      <c r="B77" s="491"/>
      <c r="C77" s="492"/>
      <c r="D77" s="493"/>
      <c r="E77" s="494"/>
      <c r="F77" s="494"/>
      <c r="G77" s="494"/>
    </row>
    <row r="78" spans="1:7" x14ac:dyDescent="0.2">
      <c r="A78" s="153"/>
      <c r="B78" s="491"/>
      <c r="C78" s="492"/>
      <c r="D78" s="493"/>
      <c r="E78" s="494"/>
      <c r="F78" s="494"/>
      <c r="G78" s="494"/>
    </row>
    <row r="79" spans="1:7" x14ac:dyDescent="0.2">
      <c r="A79" s="153"/>
      <c r="B79" s="491"/>
      <c r="C79" s="492"/>
      <c r="D79" s="493"/>
      <c r="E79" s="494"/>
      <c r="F79" s="494"/>
      <c r="G79" s="494"/>
    </row>
    <row r="80" spans="1:7" x14ac:dyDescent="0.2">
      <c r="A80" s="153"/>
      <c r="B80" s="491"/>
      <c r="C80" s="492"/>
      <c r="D80" s="493"/>
      <c r="E80" s="494"/>
      <c r="F80" s="494"/>
      <c r="G80" s="494"/>
    </row>
    <row r="81" spans="1:7" x14ac:dyDescent="0.2">
      <c r="A81" s="153"/>
      <c r="B81" s="491"/>
      <c r="C81" s="492"/>
      <c r="D81" s="493"/>
      <c r="E81" s="494"/>
      <c r="F81" s="494"/>
      <c r="G81" s="494"/>
    </row>
    <row r="82" spans="1:7" x14ac:dyDescent="0.2">
      <c r="A82" s="153"/>
      <c r="B82" s="491"/>
      <c r="C82" s="492"/>
      <c r="D82" s="493"/>
      <c r="E82" s="494"/>
      <c r="F82" s="494"/>
      <c r="G82" s="494"/>
    </row>
    <row r="83" spans="1:7" x14ac:dyDescent="0.2">
      <c r="A83" s="153"/>
      <c r="B83" s="491"/>
      <c r="C83" s="492"/>
      <c r="D83" s="493"/>
      <c r="E83" s="494"/>
      <c r="F83" s="494"/>
      <c r="G83" s="494"/>
    </row>
    <row r="84" spans="1:7" x14ac:dyDescent="0.2">
      <c r="A84" s="153"/>
      <c r="B84" s="491"/>
      <c r="C84" s="492"/>
      <c r="D84" s="493"/>
      <c r="E84" s="494"/>
      <c r="F84" s="494"/>
      <c r="G84" s="494"/>
    </row>
    <row r="85" spans="1:7" x14ac:dyDescent="0.2">
      <c r="A85" s="153"/>
      <c r="B85" s="491"/>
      <c r="C85" s="492"/>
      <c r="D85" s="493"/>
      <c r="E85" s="494"/>
      <c r="F85" s="494"/>
      <c r="G85" s="494"/>
    </row>
    <row r="86" spans="1:7" x14ac:dyDescent="0.2">
      <c r="A86" s="153"/>
      <c r="B86" s="491"/>
      <c r="C86" s="492"/>
      <c r="D86" s="493"/>
      <c r="E86" s="494"/>
      <c r="F86" s="494"/>
      <c r="G86" s="494"/>
    </row>
    <row r="87" spans="1:7" x14ac:dyDescent="0.2">
      <c r="A87" s="153"/>
      <c r="B87" s="491"/>
      <c r="C87" s="492"/>
      <c r="D87" s="493"/>
      <c r="E87" s="494"/>
      <c r="F87" s="494"/>
      <c r="G87" s="494"/>
    </row>
    <row r="88" spans="1:7" x14ac:dyDescent="0.2">
      <c r="A88" s="153"/>
      <c r="B88" s="491"/>
      <c r="C88" s="492"/>
      <c r="D88" s="493"/>
      <c r="E88" s="494"/>
      <c r="F88" s="494"/>
      <c r="G88" s="494"/>
    </row>
    <row r="89" spans="1:7" x14ac:dyDescent="0.2">
      <c r="A89" s="153"/>
      <c r="B89" s="491"/>
      <c r="C89" s="492"/>
      <c r="D89" s="493"/>
      <c r="E89" s="494"/>
      <c r="F89" s="494"/>
      <c r="G89" s="494"/>
    </row>
    <row r="90" spans="1:7" x14ac:dyDescent="0.2">
      <c r="A90" s="153"/>
      <c r="B90" s="491"/>
      <c r="C90" s="492"/>
      <c r="D90" s="493"/>
      <c r="E90" s="494"/>
      <c r="F90" s="494"/>
      <c r="G90" s="494"/>
    </row>
    <row r="91" spans="1:7" x14ac:dyDescent="0.2">
      <c r="A91" s="153"/>
      <c r="B91" s="491"/>
      <c r="C91" s="492"/>
      <c r="D91" s="493"/>
      <c r="E91" s="494"/>
      <c r="F91" s="494"/>
      <c r="G91" s="494"/>
    </row>
    <row r="92" spans="1:7" x14ac:dyDescent="0.2">
      <c r="A92" s="3"/>
      <c r="B92" s="491"/>
      <c r="C92" s="495"/>
      <c r="D92" s="493"/>
      <c r="E92" s="496"/>
      <c r="F92" s="153"/>
      <c r="G92" s="153"/>
    </row>
    <row r="94" spans="1:7" ht="20.25" customHeight="1" x14ac:dyDescent="0.2">
      <c r="A94" s="458"/>
      <c r="B94" s="458"/>
      <c r="C94" s="458"/>
      <c r="D94" s="458"/>
    </row>
  </sheetData>
  <mergeCells count="5">
    <mergeCell ref="B3:G3"/>
    <mergeCell ref="B4:G4"/>
    <mergeCell ref="F7:G7"/>
    <mergeCell ref="E35:G35"/>
    <mergeCell ref="E37:G37"/>
  </mergeCells>
  <conditionalFormatting sqref="D10:D91">
    <cfRule type="cellIs" dxfId="60" priority="1" stopIfTrue="1" operator="equal">
      <formula>"Bloqueado"</formula>
    </cfRule>
  </conditionalFormatting>
  <conditionalFormatting sqref="D1:D92 D95:D1048576">
    <cfRule type="cellIs" dxfId="59" priority="2" stopIfTrue="1" operator="equal">
      <formula>0</formula>
    </cfRule>
  </conditionalFormatting>
  <printOptions horizontalCentered="1"/>
  <pageMargins left="0.39370078740157483" right="0.39370078740157483" top="0.98425196850393704" bottom="0.39370078740157483" header="0.51181102362204722" footer="0.51181102362204722"/>
  <pageSetup paperSize="9" scale="80" firstPageNumber="0" orientation="portrait" horizontalDpi="300" verticalDpi="300" r:id="rId1"/>
  <headerFooter alignWithMargins="0">
    <oddHeader>&amp;L&amp;G&amp;CTRIBUNAL DE JUSTIÇA DO ESTADO DO RIO DE JANEIRO
CENTRAL DE ARQUIVAMENTO NUR1</oddHeader>
    <oddFooter>&amp;LFRM-CARQ-002-01&amp;CREV.:00                       Data: 20/04/2018&amp;R&amp;N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showGridLines="0" view="pageBreakPreview" topLeftCell="A46" zoomScale="98" zoomScaleNormal="100" zoomScaleSheetLayoutView="98" workbookViewId="0">
      <selection activeCell="D81" sqref="D81"/>
    </sheetView>
  </sheetViews>
  <sheetFormatPr defaultRowHeight="12.75" x14ac:dyDescent="0.2"/>
  <cols>
    <col min="1" max="1" width="1.85546875" style="139" customWidth="1"/>
    <col min="2" max="2" width="45.140625" style="139" customWidth="1"/>
    <col min="3" max="4" width="9.140625" style="139"/>
    <col min="5" max="6" width="1.5703125" style="139" customWidth="1"/>
    <col min="7" max="7" width="1.42578125" style="139" customWidth="1"/>
    <col min="8" max="8" width="28.42578125" style="139" customWidth="1"/>
    <col min="9" max="10" width="9.140625" style="139"/>
    <col min="11" max="11" width="5.42578125" style="139" hidden="1" customWidth="1"/>
    <col min="12" max="12" width="2.140625" style="139" hidden="1" customWidth="1"/>
    <col min="13" max="13" width="0" style="139" hidden="1" customWidth="1"/>
    <col min="14" max="16384" width="9.140625" style="139"/>
  </cols>
  <sheetData>
    <row r="1" spans="1:13" x14ac:dyDescent="0.2">
      <c r="A1" s="132"/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</row>
    <row r="2" spans="1:13" ht="3.75" customHeight="1" x14ac:dyDescent="0.2">
      <c r="A2" s="132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32"/>
    </row>
    <row r="3" spans="1:13" ht="22.5" x14ac:dyDescent="0.45">
      <c r="A3" s="132"/>
      <c r="B3" s="535" t="s">
        <v>252</v>
      </c>
      <c r="C3" s="535"/>
      <c r="D3" s="535"/>
      <c r="E3" s="535"/>
      <c r="F3" s="535"/>
      <c r="G3" s="535"/>
      <c r="H3" s="535"/>
      <c r="I3" s="535"/>
      <c r="J3" s="535"/>
      <c r="K3" s="132"/>
      <c r="L3" s="132"/>
    </row>
    <row r="4" spans="1:13" ht="3.75" customHeight="1" x14ac:dyDescent="0.2">
      <c r="A4" s="132"/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32"/>
    </row>
    <row r="5" spans="1:13" x14ac:dyDescent="0.2">
      <c r="A5" s="132"/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</row>
    <row r="6" spans="1:13" ht="18" x14ac:dyDescent="0.25">
      <c r="A6" s="132"/>
      <c r="B6" s="546" t="s">
        <v>253</v>
      </c>
      <c r="C6" s="546"/>
      <c r="D6" s="546"/>
      <c r="E6" s="132"/>
      <c r="F6" s="132"/>
      <c r="G6" s="132"/>
      <c r="H6" s="546" t="s">
        <v>254</v>
      </c>
      <c r="I6" s="546"/>
      <c r="J6" s="546"/>
      <c r="K6" s="132"/>
      <c r="L6" s="132"/>
    </row>
    <row r="7" spans="1:13" ht="6.75" customHeight="1" x14ac:dyDescent="0.25">
      <c r="A7" s="132"/>
      <c r="B7" s="164"/>
      <c r="C7" s="164"/>
      <c r="D7" s="164"/>
      <c r="E7" s="132"/>
      <c r="F7" s="132"/>
      <c r="G7" s="132"/>
      <c r="H7" s="164"/>
      <c r="I7" s="164"/>
      <c r="J7" s="164"/>
      <c r="K7" s="132"/>
      <c r="L7" s="132"/>
    </row>
    <row r="8" spans="1:13" ht="12.75" customHeight="1" x14ac:dyDescent="0.2">
      <c r="A8" s="132"/>
      <c r="B8" s="547" t="str">
        <f>IF(M11&gt;1,"Escolher apenas uma opção","")</f>
        <v/>
      </c>
      <c r="C8" s="547"/>
      <c r="D8" s="547"/>
      <c r="E8" s="165"/>
      <c r="F8" s="165"/>
      <c r="G8" s="165"/>
      <c r="H8" s="547" t="str">
        <f>IF(M13&gt;1,"Escolher apenas uma opção","")</f>
        <v/>
      </c>
      <c r="I8" s="547"/>
      <c r="J8" s="547"/>
      <c r="K8" s="132"/>
      <c r="L8" s="132"/>
    </row>
    <row r="9" spans="1:13" ht="6.75" customHeight="1" x14ac:dyDescent="0.2">
      <c r="A9" s="132"/>
      <c r="B9" s="132"/>
      <c r="C9" s="132"/>
      <c r="D9" s="132"/>
      <c r="E9" s="132"/>
      <c r="F9" s="154"/>
      <c r="G9" s="132"/>
      <c r="H9" s="132"/>
      <c r="I9" s="132"/>
      <c r="J9" s="132"/>
      <c r="K9" s="132"/>
      <c r="L9" s="132"/>
    </row>
    <row r="10" spans="1:13" x14ac:dyDescent="0.2">
      <c r="A10" s="132"/>
      <c r="B10" s="166" t="s">
        <v>255</v>
      </c>
      <c r="C10" s="132"/>
      <c r="D10" s="132"/>
      <c r="E10" s="132"/>
      <c r="F10" s="154"/>
      <c r="G10" s="132"/>
      <c r="H10" s="166" t="s">
        <v>255</v>
      </c>
      <c r="I10" s="132"/>
      <c r="J10" s="132"/>
      <c r="K10" s="132"/>
      <c r="L10" s="132"/>
    </row>
    <row r="11" spans="1:13" x14ac:dyDescent="0.2">
      <c r="A11" s="132"/>
      <c r="B11" s="166" t="s">
        <v>256</v>
      </c>
      <c r="C11" s="167"/>
      <c r="D11" s="168">
        <f>IF(C11="",0,64)</f>
        <v>0</v>
      </c>
      <c r="E11" s="132"/>
      <c r="F11" s="154"/>
      <c r="G11" s="132"/>
      <c r="H11" s="166" t="s">
        <v>257</v>
      </c>
      <c r="I11" s="167"/>
      <c r="J11" s="168">
        <f>IF(I11="",0,58)</f>
        <v>0</v>
      </c>
      <c r="K11" s="132"/>
      <c r="L11" s="132"/>
      <c r="M11" s="169">
        <f>COUNTA(C11:C25)</f>
        <v>0</v>
      </c>
    </row>
    <row r="12" spans="1:13" ht="6.75" customHeight="1" x14ac:dyDescent="0.2">
      <c r="A12" s="132"/>
      <c r="B12" s="166"/>
      <c r="C12" s="170"/>
      <c r="D12" s="168"/>
      <c r="E12" s="132"/>
      <c r="F12" s="154"/>
      <c r="G12" s="132"/>
      <c r="H12" s="166"/>
      <c r="I12" s="170"/>
      <c r="J12" s="168"/>
      <c r="K12" s="132"/>
      <c r="L12" s="132"/>
    </row>
    <row r="13" spans="1:13" x14ac:dyDescent="0.2">
      <c r="A13" s="132"/>
      <c r="B13" s="166" t="s">
        <v>258</v>
      </c>
      <c r="C13" s="167"/>
      <c r="D13" s="168">
        <f>IF(C13="",0,73.4)</f>
        <v>0</v>
      </c>
      <c r="E13" s="132"/>
      <c r="F13" s="154"/>
      <c r="G13" s="132"/>
      <c r="H13" s="166" t="s">
        <v>259</v>
      </c>
      <c r="I13" s="167"/>
      <c r="J13" s="168">
        <f>IF(I13="",0,64)</f>
        <v>0</v>
      </c>
      <c r="K13" s="132"/>
      <c r="L13" s="132"/>
      <c r="M13" s="169">
        <f>COUNTA(I11:I71)</f>
        <v>0</v>
      </c>
    </row>
    <row r="14" spans="1:13" ht="6.75" customHeight="1" x14ac:dyDescent="0.2">
      <c r="A14" s="132"/>
      <c r="B14" s="166"/>
      <c r="C14" s="170"/>
      <c r="D14" s="168"/>
      <c r="E14" s="132"/>
      <c r="F14" s="154"/>
      <c r="G14" s="132"/>
      <c r="H14" s="166"/>
      <c r="I14" s="170"/>
      <c r="J14" s="168"/>
      <c r="K14" s="132"/>
      <c r="L14" s="132"/>
    </row>
    <row r="15" spans="1:13" x14ac:dyDescent="0.2">
      <c r="A15" s="132"/>
      <c r="B15" s="166" t="s">
        <v>260</v>
      </c>
      <c r="C15" s="167"/>
      <c r="D15" s="168">
        <f>IF(C15="",0,84.2)</f>
        <v>0</v>
      </c>
      <c r="E15" s="132"/>
      <c r="F15" s="154"/>
      <c r="G15" s="132"/>
      <c r="H15" s="166" t="s">
        <v>258</v>
      </c>
      <c r="I15" s="167"/>
      <c r="J15" s="168">
        <f>IF(I15="",0,73.4)</f>
        <v>0</v>
      </c>
      <c r="K15" s="132"/>
      <c r="L15" s="132"/>
    </row>
    <row r="16" spans="1:13" ht="6.75" customHeight="1" x14ac:dyDescent="0.2">
      <c r="A16" s="132"/>
      <c r="B16" s="166"/>
      <c r="C16" s="170"/>
      <c r="D16" s="168"/>
      <c r="E16" s="132"/>
      <c r="F16" s="154"/>
      <c r="G16" s="132"/>
      <c r="H16" s="166"/>
      <c r="I16" s="170"/>
      <c r="J16" s="168"/>
      <c r="K16" s="132"/>
      <c r="L16" s="132"/>
    </row>
    <row r="17" spans="1:12" x14ac:dyDescent="0.2">
      <c r="A17" s="132"/>
      <c r="B17" s="166" t="s">
        <v>261</v>
      </c>
      <c r="C17" s="167"/>
      <c r="D17" s="168">
        <f>IF(C17="",0,93)</f>
        <v>0</v>
      </c>
      <c r="E17" s="132"/>
      <c r="F17" s="154"/>
      <c r="G17" s="132"/>
      <c r="H17" s="166" t="s">
        <v>260</v>
      </c>
      <c r="I17" s="167"/>
      <c r="J17" s="168">
        <f>IF(I17="",0,84.2)</f>
        <v>0</v>
      </c>
      <c r="K17" s="132"/>
      <c r="L17" s="132"/>
    </row>
    <row r="18" spans="1:12" ht="6.75" customHeight="1" x14ac:dyDescent="0.2">
      <c r="A18" s="132"/>
      <c r="B18" s="166"/>
      <c r="C18" s="170"/>
      <c r="D18" s="168"/>
      <c r="E18" s="132"/>
      <c r="F18" s="154"/>
      <c r="G18" s="132"/>
      <c r="H18" s="166"/>
      <c r="I18" s="170"/>
      <c r="J18" s="168"/>
      <c r="K18" s="132"/>
      <c r="L18" s="132"/>
    </row>
    <row r="19" spans="1:12" x14ac:dyDescent="0.2">
      <c r="A19" s="132"/>
      <c r="B19" s="166" t="s">
        <v>262</v>
      </c>
      <c r="C19" s="167"/>
      <c r="D19" s="168">
        <f>IF(C19="",0,102.6)</f>
        <v>0</v>
      </c>
      <c r="E19" s="132"/>
      <c r="F19" s="154"/>
      <c r="G19" s="132"/>
      <c r="H19" s="166" t="s">
        <v>261</v>
      </c>
      <c r="I19" s="167"/>
      <c r="J19" s="168">
        <f>IF(I19="",0,93)</f>
        <v>0</v>
      </c>
      <c r="K19" s="132"/>
      <c r="L19" s="132"/>
    </row>
    <row r="20" spans="1:12" ht="6.75" customHeight="1" x14ac:dyDescent="0.2">
      <c r="A20" s="132"/>
      <c r="B20" s="166"/>
      <c r="C20" s="170"/>
      <c r="D20" s="168"/>
      <c r="E20" s="132"/>
      <c r="F20" s="154"/>
      <c r="G20" s="132"/>
      <c r="H20" s="166"/>
      <c r="I20" s="170"/>
      <c r="J20" s="168"/>
      <c r="K20" s="132"/>
      <c r="L20" s="132"/>
    </row>
    <row r="21" spans="1:12" x14ac:dyDescent="0.2">
      <c r="A21" s="132"/>
      <c r="B21" s="166" t="s">
        <v>263</v>
      </c>
      <c r="C21" s="167"/>
      <c r="D21" s="168">
        <f>IF(C21="",0,112.6)</f>
        <v>0</v>
      </c>
      <c r="E21" s="132"/>
      <c r="F21" s="154"/>
      <c r="G21" s="132"/>
      <c r="H21" s="166" t="s">
        <v>262</v>
      </c>
      <c r="I21" s="167"/>
      <c r="J21" s="168">
        <f>IF(I21="",0,102.6)</f>
        <v>0</v>
      </c>
      <c r="K21" s="132"/>
      <c r="L21" s="132"/>
    </row>
    <row r="22" spans="1:12" ht="6.75" customHeight="1" x14ac:dyDescent="0.2">
      <c r="A22" s="132"/>
      <c r="B22" s="166"/>
      <c r="C22" s="170"/>
      <c r="D22" s="168"/>
      <c r="E22" s="132"/>
      <c r="F22" s="154"/>
      <c r="G22" s="132"/>
      <c r="H22" s="166"/>
      <c r="I22" s="170"/>
      <c r="J22" s="168"/>
      <c r="K22" s="132"/>
      <c r="L22" s="132"/>
    </row>
    <row r="23" spans="1:12" x14ac:dyDescent="0.2">
      <c r="A23" s="132"/>
      <c r="B23" s="166" t="s">
        <v>264</v>
      </c>
      <c r="C23" s="167"/>
      <c r="D23" s="168">
        <f>IF(C23="",0,124)</f>
        <v>0</v>
      </c>
      <c r="E23" s="132"/>
      <c r="F23" s="154"/>
      <c r="G23" s="132"/>
      <c r="H23" s="166" t="s">
        <v>263</v>
      </c>
      <c r="I23" s="167"/>
      <c r="J23" s="168">
        <f>IF(I23="",0,112.6)</f>
        <v>0</v>
      </c>
      <c r="K23" s="132"/>
      <c r="L23" s="132"/>
    </row>
    <row r="24" spans="1:12" ht="6.75" customHeight="1" x14ac:dyDescent="0.2">
      <c r="A24" s="132"/>
      <c r="B24" s="166"/>
      <c r="C24" s="170"/>
      <c r="D24" s="168"/>
      <c r="E24" s="132"/>
      <c r="F24" s="154"/>
      <c r="G24" s="132"/>
      <c r="H24" s="166"/>
      <c r="I24" s="170"/>
      <c r="J24" s="168"/>
      <c r="K24" s="132"/>
      <c r="L24" s="132"/>
    </row>
    <row r="25" spans="1:12" x14ac:dyDescent="0.2">
      <c r="A25" s="132"/>
      <c r="B25" s="166" t="s">
        <v>265</v>
      </c>
      <c r="C25" s="167"/>
      <c r="D25" s="168" t="str">
        <f>IF(C25="","",124+(C25*11.4))</f>
        <v/>
      </c>
      <c r="E25" s="132"/>
      <c r="F25" s="154"/>
      <c r="G25" s="132"/>
      <c r="H25" s="166" t="s">
        <v>264</v>
      </c>
      <c r="I25" s="167"/>
      <c r="J25" s="168">
        <f>IF(I25="",0,124)</f>
        <v>0</v>
      </c>
      <c r="K25" s="132"/>
      <c r="L25" s="132"/>
    </row>
    <row r="26" spans="1:12" ht="6.75" customHeight="1" x14ac:dyDescent="0.2">
      <c r="A26" s="132"/>
      <c r="B26" s="166"/>
      <c r="C26" s="170"/>
      <c r="D26" s="170"/>
      <c r="E26" s="132"/>
      <c r="F26" s="154"/>
      <c r="G26" s="132"/>
      <c r="H26" s="166"/>
      <c r="I26" s="170"/>
      <c r="J26" s="168"/>
      <c r="K26" s="132"/>
      <c r="L26" s="132"/>
    </row>
    <row r="27" spans="1:12" x14ac:dyDescent="0.2">
      <c r="A27" s="132"/>
      <c r="B27" s="171" t="s">
        <v>91</v>
      </c>
      <c r="C27" s="170"/>
      <c r="D27" s="168">
        <f>SUM(D11:D25)</f>
        <v>0</v>
      </c>
      <c r="E27" s="132"/>
      <c r="F27" s="154"/>
      <c r="G27" s="132"/>
      <c r="H27" s="166" t="s">
        <v>266</v>
      </c>
      <c r="I27" s="167"/>
      <c r="J27" s="168">
        <f>IF(I27="",0,135)</f>
        <v>0</v>
      </c>
      <c r="K27" s="132"/>
      <c r="L27" s="132"/>
    </row>
    <row r="28" spans="1:12" ht="6.75" customHeight="1" x14ac:dyDescent="0.2">
      <c r="A28" s="132"/>
      <c r="B28" s="132"/>
      <c r="C28" s="132"/>
      <c r="D28" s="132"/>
      <c r="E28" s="132"/>
      <c r="F28" s="154"/>
      <c r="G28" s="132"/>
      <c r="H28" s="166"/>
      <c r="I28" s="170"/>
      <c r="J28" s="168"/>
      <c r="K28" s="132"/>
      <c r="L28" s="132"/>
    </row>
    <row r="29" spans="1:12" x14ac:dyDescent="0.2">
      <c r="A29" s="132"/>
      <c r="B29" s="545"/>
      <c r="C29" s="545"/>
      <c r="D29" s="545"/>
      <c r="E29" s="132"/>
      <c r="F29" s="154"/>
      <c r="G29" s="132"/>
      <c r="H29" s="166" t="s">
        <v>267</v>
      </c>
      <c r="I29" s="167"/>
      <c r="J29" s="168">
        <f>IF(I29="",0,146.4)</f>
        <v>0</v>
      </c>
      <c r="K29" s="132"/>
      <c r="L29" s="132"/>
    </row>
    <row r="30" spans="1:12" ht="6.75" customHeight="1" x14ac:dyDescent="0.2">
      <c r="A30" s="132"/>
      <c r="B30" s="132"/>
      <c r="C30" s="132"/>
      <c r="D30" s="132"/>
      <c r="E30" s="132"/>
      <c r="F30" s="154"/>
      <c r="G30" s="132"/>
      <c r="H30" s="166"/>
      <c r="I30" s="170"/>
      <c r="J30" s="168"/>
      <c r="K30" s="132"/>
      <c r="L30" s="132"/>
    </row>
    <row r="31" spans="1:12" x14ac:dyDescent="0.2">
      <c r="A31" s="132"/>
      <c r="B31" s="132"/>
      <c r="C31" s="132"/>
      <c r="D31" s="132"/>
      <c r="E31" s="132"/>
      <c r="F31" s="154"/>
      <c r="G31" s="132"/>
      <c r="H31" s="166" t="s">
        <v>268</v>
      </c>
      <c r="I31" s="167"/>
      <c r="J31" s="168">
        <f>IF(I31="",0,157.4)</f>
        <v>0</v>
      </c>
      <c r="K31" s="132"/>
      <c r="L31" s="132"/>
    </row>
    <row r="32" spans="1:12" ht="6.75" customHeight="1" x14ac:dyDescent="0.2">
      <c r="A32" s="132"/>
      <c r="B32" s="132"/>
      <c r="C32" s="132"/>
      <c r="D32" s="132"/>
      <c r="E32" s="132"/>
      <c r="F32" s="154"/>
      <c r="G32" s="132"/>
      <c r="H32" s="166"/>
      <c r="I32" s="170"/>
      <c r="J32" s="168"/>
      <c r="K32" s="132"/>
      <c r="L32" s="132"/>
    </row>
    <row r="33" spans="1:12" x14ac:dyDescent="0.2">
      <c r="A33" s="132"/>
      <c r="B33" s="132"/>
      <c r="C33" s="132"/>
      <c r="D33" s="132"/>
      <c r="E33" s="132"/>
      <c r="F33" s="154"/>
      <c r="G33" s="132"/>
      <c r="H33" s="166" t="s">
        <v>269</v>
      </c>
      <c r="I33" s="167"/>
      <c r="J33" s="168">
        <f>IF(I33="",0,165)</f>
        <v>0</v>
      </c>
      <c r="K33" s="132"/>
      <c r="L33" s="132"/>
    </row>
    <row r="34" spans="1:12" ht="6.75" customHeight="1" x14ac:dyDescent="0.2">
      <c r="A34" s="132"/>
      <c r="B34" s="132"/>
      <c r="C34" s="132"/>
      <c r="D34" s="132"/>
      <c r="E34" s="132"/>
      <c r="F34" s="154"/>
      <c r="G34" s="132"/>
      <c r="H34" s="166"/>
      <c r="I34" s="170"/>
      <c r="J34" s="168"/>
      <c r="K34" s="132"/>
      <c r="L34" s="132"/>
    </row>
    <row r="35" spans="1:12" x14ac:dyDescent="0.2">
      <c r="A35" s="132"/>
      <c r="B35" s="132"/>
      <c r="C35" s="132"/>
      <c r="D35" s="132"/>
      <c r="E35" s="132"/>
      <c r="F35" s="154"/>
      <c r="G35" s="132"/>
      <c r="H35" s="166" t="s">
        <v>270</v>
      </c>
      <c r="I35" s="167"/>
      <c r="J35" s="168">
        <f>IF(I35="",0,175)</f>
        <v>0</v>
      </c>
      <c r="K35" s="132"/>
      <c r="L35" s="132"/>
    </row>
    <row r="36" spans="1:12" ht="6.75" customHeight="1" x14ac:dyDescent="0.2">
      <c r="A36" s="132"/>
      <c r="B36" s="132"/>
      <c r="C36" s="132"/>
      <c r="D36" s="132"/>
      <c r="E36" s="132"/>
      <c r="F36" s="154"/>
      <c r="G36" s="132"/>
      <c r="H36" s="166"/>
      <c r="I36" s="170"/>
      <c r="J36" s="168"/>
      <c r="K36" s="132"/>
      <c r="L36" s="132"/>
    </row>
    <row r="37" spans="1:12" x14ac:dyDescent="0.2">
      <c r="A37" s="132"/>
      <c r="B37" s="132"/>
      <c r="C37" s="132"/>
      <c r="D37" s="132"/>
      <c r="E37" s="132"/>
      <c r="F37" s="154"/>
      <c r="G37" s="132"/>
      <c r="H37" s="166" t="s">
        <v>271</v>
      </c>
      <c r="I37" s="167"/>
      <c r="J37" s="168">
        <f>IF(I37="",0,185)</f>
        <v>0</v>
      </c>
      <c r="K37" s="132"/>
      <c r="L37" s="132"/>
    </row>
    <row r="38" spans="1:12" ht="6.75" customHeight="1" x14ac:dyDescent="0.2">
      <c r="A38" s="132"/>
      <c r="B38" s="132"/>
      <c r="C38" s="132"/>
      <c r="D38" s="132"/>
      <c r="E38" s="132"/>
      <c r="F38" s="154"/>
      <c r="G38" s="132"/>
      <c r="H38" s="166"/>
      <c r="I38" s="170"/>
      <c r="J38" s="168"/>
      <c r="K38" s="132"/>
      <c r="L38" s="132"/>
    </row>
    <row r="39" spans="1:12" x14ac:dyDescent="0.2">
      <c r="A39" s="132"/>
      <c r="B39" s="132"/>
      <c r="C39" s="132"/>
      <c r="D39" s="132"/>
      <c r="E39" s="132"/>
      <c r="F39" s="154"/>
      <c r="G39" s="132"/>
      <c r="H39" s="166" t="s">
        <v>272</v>
      </c>
      <c r="I39" s="167"/>
      <c r="J39" s="168">
        <f>IF(I39="",0,194.8)</f>
        <v>0</v>
      </c>
      <c r="K39" s="132"/>
      <c r="L39" s="132"/>
    </row>
    <row r="40" spans="1:12" ht="6.75" customHeight="1" x14ac:dyDescent="0.2">
      <c r="A40" s="132"/>
      <c r="B40" s="132"/>
      <c r="C40" s="132"/>
      <c r="D40" s="132"/>
      <c r="E40" s="132"/>
      <c r="F40" s="154"/>
      <c r="G40" s="132"/>
      <c r="H40" s="166"/>
      <c r="I40" s="170"/>
      <c r="J40" s="168"/>
      <c r="K40" s="132"/>
      <c r="L40" s="132"/>
    </row>
    <row r="41" spans="1:12" x14ac:dyDescent="0.2">
      <c r="A41" s="132"/>
      <c r="B41" s="132"/>
      <c r="C41" s="132"/>
      <c r="D41" s="132"/>
      <c r="E41" s="132"/>
      <c r="F41" s="154"/>
      <c r="G41" s="132"/>
      <c r="H41" s="166" t="s">
        <v>273</v>
      </c>
      <c r="I41" s="167"/>
      <c r="J41" s="168">
        <f>IF(I41="",0,204.6)</f>
        <v>0</v>
      </c>
      <c r="K41" s="132"/>
      <c r="L41" s="132"/>
    </row>
    <row r="42" spans="1:12" ht="6.75" customHeight="1" x14ac:dyDescent="0.2">
      <c r="A42" s="132"/>
      <c r="B42" s="132"/>
      <c r="C42" s="132"/>
      <c r="D42" s="132"/>
      <c r="E42" s="132"/>
      <c r="F42" s="154"/>
      <c r="G42" s="132"/>
      <c r="H42" s="166"/>
      <c r="I42" s="170"/>
      <c r="J42" s="168"/>
      <c r="K42" s="132"/>
      <c r="L42" s="132"/>
    </row>
    <row r="43" spans="1:12" x14ac:dyDescent="0.2">
      <c r="A43" s="132"/>
      <c r="B43" s="132"/>
      <c r="C43" s="132"/>
      <c r="D43" s="132"/>
      <c r="E43" s="132"/>
      <c r="F43" s="154"/>
      <c r="G43" s="132"/>
      <c r="H43" s="166" t="s">
        <v>274</v>
      </c>
      <c r="I43" s="167"/>
      <c r="J43" s="168">
        <f>IF(I43="",0,214.6)</f>
        <v>0</v>
      </c>
      <c r="K43" s="132"/>
      <c r="L43" s="132"/>
    </row>
    <row r="44" spans="1:12" ht="6.75" customHeight="1" x14ac:dyDescent="0.2">
      <c r="A44" s="132"/>
      <c r="B44" s="132"/>
      <c r="C44" s="132"/>
      <c r="D44" s="132"/>
      <c r="E44" s="132"/>
      <c r="F44" s="154"/>
      <c r="G44" s="132"/>
      <c r="H44" s="166"/>
      <c r="I44" s="170"/>
      <c r="J44" s="168"/>
      <c r="K44" s="132"/>
      <c r="L44" s="132"/>
    </row>
    <row r="45" spans="1:12" x14ac:dyDescent="0.2">
      <c r="A45" s="132"/>
      <c r="B45" s="132"/>
      <c r="C45" s="132"/>
      <c r="D45" s="132"/>
      <c r="E45" s="132"/>
      <c r="F45" s="154"/>
      <c r="G45" s="132"/>
      <c r="H45" s="166" t="s">
        <v>275</v>
      </c>
      <c r="I45" s="167"/>
      <c r="J45" s="168">
        <f>IF(I45="",0,224.6)</f>
        <v>0</v>
      </c>
      <c r="K45" s="132"/>
      <c r="L45" s="132"/>
    </row>
    <row r="46" spans="1:12" ht="6.75" customHeight="1" x14ac:dyDescent="0.2">
      <c r="A46" s="132"/>
      <c r="B46" s="132"/>
      <c r="C46" s="132"/>
      <c r="D46" s="132"/>
      <c r="E46" s="132"/>
      <c r="F46" s="154"/>
      <c r="G46" s="132"/>
      <c r="H46" s="166"/>
      <c r="I46" s="170"/>
      <c r="J46" s="168"/>
      <c r="K46" s="132"/>
      <c r="L46" s="132"/>
    </row>
    <row r="47" spans="1:12" x14ac:dyDescent="0.2">
      <c r="A47" s="132"/>
      <c r="B47" s="132"/>
      <c r="C47" s="132"/>
      <c r="D47" s="132"/>
      <c r="E47" s="132"/>
      <c r="F47" s="154"/>
      <c r="G47" s="132"/>
      <c r="H47" s="166" t="s">
        <v>276</v>
      </c>
      <c r="I47" s="167"/>
      <c r="J47" s="168">
        <f>IF(I47="",0,234.6)</f>
        <v>0</v>
      </c>
      <c r="K47" s="132"/>
      <c r="L47" s="132"/>
    </row>
    <row r="48" spans="1:12" ht="6.75" customHeight="1" x14ac:dyDescent="0.2">
      <c r="A48" s="132"/>
      <c r="B48" s="132"/>
      <c r="C48" s="132"/>
      <c r="D48" s="132"/>
      <c r="E48" s="132"/>
      <c r="F48" s="154"/>
      <c r="G48" s="132"/>
      <c r="H48" s="166"/>
      <c r="I48" s="170"/>
      <c r="J48" s="168"/>
      <c r="K48" s="132"/>
      <c r="L48" s="132"/>
    </row>
    <row r="49" spans="1:12" x14ac:dyDescent="0.2">
      <c r="A49" s="132"/>
      <c r="B49" s="132"/>
      <c r="C49" s="132"/>
      <c r="D49" s="132"/>
      <c r="E49" s="132"/>
      <c r="F49" s="154"/>
      <c r="G49" s="132"/>
      <c r="H49" s="166" t="s">
        <v>277</v>
      </c>
      <c r="I49" s="167"/>
      <c r="J49" s="168">
        <f>IF(I49="",0,244.2)</f>
        <v>0</v>
      </c>
      <c r="K49" s="132"/>
      <c r="L49" s="132"/>
    </row>
    <row r="50" spans="1:12" ht="6.75" customHeight="1" x14ac:dyDescent="0.2">
      <c r="A50" s="132"/>
      <c r="B50" s="132"/>
      <c r="C50" s="132"/>
      <c r="D50" s="132"/>
      <c r="E50" s="132"/>
      <c r="F50" s="154"/>
      <c r="G50" s="132"/>
      <c r="H50" s="166"/>
      <c r="I50" s="170"/>
      <c r="J50" s="168"/>
      <c r="K50" s="132"/>
      <c r="L50" s="132"/>
    </row>
    <row r="51" spans="1:12" x14ac:dyDescent="0.2">
      <c r="A51" s="132"/>
      <c r="B51" s="132"/>
      <c r="C51" s="132"/>
      <c r="D51" s="132"/>
      <c r="E51" s="132"/>
      <c r="F51" s="154"/>
      <c r="G51" s="132"/>
      <c r="H51" s="166" t="s">
        <v>278</v>
      </c>
      <c r="I51" s="167"/>
      <c r="J51" s="168">
        <f>IF(I51="",0,254.2)</f>
        <v>0</v>
      </c>
      <c r="K51" s="132"/>
      <c r="L51" s="132"/>
    </row>
    <row r="52" spans="1:12" ht="6.75" customHeight="1" x14ac:dyDescent="0.2">
      <c r="A52" s="132"/>
      <c r="B52" s="132"/>
      <c r="C52" s="132"/>
      <c r="D52" s="132"/>
      <c r="E52" s="132"/>
      <c r="F52" s="154"/>
      <c r="G52" s="132"/>
      <c r="H52" s="166"/>
      <c r="I52" s="170"/>
      <c r="J52" s="168"/>
      <c r="K52" s="132"/>
      <c r="L52" s="132"/>
    </row>
    <row r="53" spans="1:12" x14ac:dyDescent="0.2">
      <c r="A53" s="132"/>
      <c r="B53" s="132"/>
      <c r="C53" s="132"/>
      <c r="D53" s="132"/>
      <c r="E53" s="132"/>
      <c r="F53" s="154"/>
      <c r="G53" s="132"/>
      <c r="H53" s="166" t="s">
        <v>279</v>
      </c>
      <c r="I53" s="167"/>
      <c r="J53" s="168">
        <f>IF(I53="",0,259.8)</f>
        <v>0</v>
      </c>
      <c r="K53" s="132"/>
      <c r="L53" s="132"/>
    </row>
    <row r="54" spans="1:12" ht="6.75" customHeight="1" x14ac:dyDescent="0.2">
      <c r="A54" s="132"/>
      <c r="B54" s="132"/>
      <c r="C54" s="132"/>
      <c r="D54" s="132"/>
      <c r="E54" s="132"/>
      <c r="F54" s="154"/>
      <c r="G54" s="132"/>
      <c r="H54" s="166"/>
      <c r="I54" s="170"/>
      <c r="J54" s="168"/>
      <c r="K54" s="132"/>
      <c r="L54" s="132"/>
    </row>
    <row r="55" spans="1:12" x14ac:dyDescent="0.2">
      <c r="A55" s="132"/>
      <c r="B55" s="132"/>
      <c r="C55" s="132"/>
      <c r="D55" s="132"/>
      <c r="E55" s="132"/>
      <c r="F55" s="154"/>
      <c r="G55" s="132"/>
      <c r="H55" s="166" t="s">
        <v>280</v>
      </c>
      <c r="I55" s="167"/>
      <c r="J55" s="168">
        <f>IF(I55="",0,267.6)</f>
        <v>0</v>
      </c>
      <c r="K55" s="132"/>
      <c r="L55" s="132"/>
    </row>
    <row r="56" spans="1:12" ht="6.75" customHeight="1" x14ac:dyDescent="0.2">
      <c r="A56" s="132"/>
      <c r="B56" s="132"/>
      <c r="C56" s="132"/>
      <c r="D56" s="132"/>
      <c r="E56" s="132"/>
      <c r="F56" s="154"/>
      <c r="G56" s="132"/>
      <c r="H56" s="166"/>
      <c r="I56" s="170"/>
      <c r="J56" s="168"/>
      <c r="K56" s="132"/>
      <c r="L56" s="132"/>
    </row>
    <row r="57" spans="1:12" x14ac:dyDescent="0.2">
      <c r="A57" s="132"/>
      <c r="B57" s="132"/>
      <c r="C57" s="132"/>
      <c r="D57" s="132"/>
      <c r="E57" s="132"/>
      <c r="F57" s="154"/>
      <c r="G57" s="132"/>
      <c r="H57" s="166" t="s">
        <v>281</v>
      </c>
      <c r="I57" s="167"/>
      <c r="J57" s="168">
        <f>IF(I57="",0,275.4)</f>
        <v>0</v>
      </c>
      <c r="K57" s="132"/>
      <c r="L57" s="132"/>
    </row>
    <row r="58" spans="1:12" ht="6.75" customHeight="1" x14ac:dyDescent="0.2">
      <c r="A58" s="132"/>
      <c r="B58" s="132"/>
      <c r="C58" s="132"/>
      <c r="D58" s="132"/>
      <c r="E58" s="132"/>
      <c r="F58" s="154"/>
      <c r="G58" s="132"/>
      <c r="H58" s="166"/>
      <c r="I58" s="170"/>
      <c r="J58" s="168"/>
      <c r="K58" s="132"/>
      <c r="L58" s="132"/>
    </row>
    <row r="59" spans="1:12" x14ac:dyDescent="0.2">
      <c r="A59" s="132"/>
      <c r="B59" s="132"/>
      <c r="C59" s="132"/>
      <c r="D59" s="132"/>
      <c r="E59" s="132"/>
      <c r="F59" s="154"/>
      <c r="G59" s="132"/>
      <c r="H59" s="166" t="s">
        <v>282</v>
      </c>
      <c r="I59" s="167"/>
      <c r="J59" s="168">
        <f>IF(I59="",0,283.4)</f>
        <v>0</v>
      </c>
      <c r="K59" s="132"/>
      <c r="L59" s="132"/>
    </row>
    <row r="60" spans="1:12" ht="6.75" customHeight="1" x14ac:dyDescent="0.2">
      <c r="A60" s="132"/>
      <c r="B60" s="132"/>
      <c r="C60" s="132"/>
      <c r="D60" s="132"/>
      <c r="E60" s="132"/>
      <c r="F60" s="154"/>
      <c r="G60" s="132"/>
      <c r="H60" s="166"/>
      <c r="I60" s="170"/>
      <c r="J60" s="168"/>
      <c r="K60" s="132"/>
      <c r="L60" s="132"/>
    </row>
    <row r="61" spans="1:12" x14ac:dyDescent="0.2">
      <c r="A61" s="132"/>
      <c r="B61" s="132"/>
      <c r="C61" s="132"/>
      <c r="D61" s="132"/>
      <c r="E61" s="132"/>
      <c r="F61" s="154"/>
      <c r="G61" s="132"/>
      <c r="H61" s="166" t="s">
        <v>283</v>
      </c>
      <c r="I61" s="167"/>
      <c r="J61" s="168">
        <f>IF(I61="",0,291.2)</f>
        <v>0</v>
      </c>
      <c r="K61" s="132"/>
      <c r="L61" s="132"/>
    </row>
    <row r="62" spans="1:12" ht="6.75" customHeight="1" x14ac:dyDescent="0.2">
      <c r="A62" s="132"/>
      <c r="B62" s="132"/>
      <c r="C62" s="132"/>
      <c r="D62" s="132"/>
      <c r="E62" s="132"/>
      <c r="F62" s="154"/>
      <c r="G62" s="132"/>
      <c r="H62" s="166"/>
      <c r="I62" s="170"/>
      <c r="J62" s="168"/>
      <c r="K62" s="132"/>
      <c r="L62" s="132"/>
    </row>
    <row r="63" spans="1:12" x14ac:dyDescent="0.2">
      <c r="A63" s="132"/>
      <c r="B63" s="132"/>
      <c r="C63" s="132"/>
      <c r="D63" s="132"/>
      <c r="E63" s="132"/>
      <c r="F63" s="154"/>
      <c r="G63" s="132"/>
      <c r="H63" s="166" t="s">
        <v>284</v>
      </c>
      <c r="I63" s="167"/>
      <c r="J63" s="168">
        <f>IF(I63="",0,299.2)</f>
        <v>0</v>
      </c>
      <c r="K63" s="132"/>
      <c r="L63" s="132"/>
    </row>
    <row r="64" spans="1:12" ht="6.75" customHeight="1" x14ac:dyDescent="0.2">
      <c r="A64" s="132"/>
      <c r="B64" s="132"/>
      <c r="C64" s="132"/>
      <c r="D64" s="132"/>
      <c r="E64" s="132"/>
      <c r="F64" s="154"/>
      <c r="G64" s="132"/>
      <c r="H64" s="166"/>
      <c r="I64" s="170"/>
      <c r="J64" s="168"/>
      <c r="K64" s="132"/>
      <c r="L64" s="132"/>
    </row>
    <row r="65" spans="1:12" x14ac:dyDescent="0.2">
      <c r="A65" s="132"/>
      <c r="B65" s="132"/>
      <c r="C65" s="132"/>
      <c r="D65" s="132"/>
      <c r="E65" s="132"/>
      <c r="F65" s="154"/>
      <c r="G65" s="132"/>
      <c r="H65" s="166" t="s">
        <v>285</v>
      </c>
      <c r="I65" s="167"/>
      <c r="J65" s="168">
        <f>IF(I65="",0,307.2)</f>
        <v>0</v>
      </c>
      <c r="K65" s="132"/>
      <c r="L65" s="132"/>
    </row>
    <row r="66" spans="1:12" ht="6.75" customHeight="1" x14ac:dyDescent="0.2">
      <c r="A66" s="132"/>
      <c r="B66" s="132"/>
      <c r="C66" s="132"/>
      <c r="D66" s="132"/>
      <c r="E66" s="132"/>
      <c r="F66" s="154"/>
      <c r="G66" s="132"/>
      <c r="H66" s="166"/>
      <c r="I66" s="170"/>
      <c r="J66" s="168"/>
      <c r="K66" s="132"/>
      <c r="L66" s="132"/>
    </row>
    <row r="67" spans="1:12" x14ac:dyDescent="0.2">
      <c r="A67" s="132"/>
      <c r="B67" s="132"/>
      <c r="C67" s="132"/>
      <c r="D67" s="132"/>
      <c r="E67" s="132"/>
      <c r="F67" s="154"/>
      <c r="G67" s="132"/>
      <c r="H67" s="166" t="s">
        <v>286</v>
      </c>
      <c r="I67" s="167"/>
      <c r="J67" s="168">
        <f>IF(I67="",0,314.8)</f>
        <v>0</v>
      </c>
      <c r="K67" s="132"/>
      <c r="L67" s="132"/>
    </row>
    <row r="68" spans="1:12" ht="6.75" customHeight="1" x14ac:dyDescent="0.2">
      <c r="A68" s="132"/>
      <c r="B68" s="132"/>
      <c r="C68" s="132"/>
      <c r="D68" s="132"/>
      <c r="E68" s="132"/>
      <c r="F68" s="154"/>
      <c r="G68" s="132"/>
      <c r="H68" s="166"/>
      <c r="I68" s="170"/>
      <c r="J68" s="168"/>
      <c r="K68" s="132"/>
      <c r="L68" s="132"/>
    </row>
    <row r="69" spans="1:12" x14ac:dyDescent="0.2">
      <c r="A69" s="132"/>
      <c r="B69" s="132"/>
      <c r="C69" s="132"/>
      <c r="D69" s="132"/>
      <c r="E69" s="132"/>
      <c r="F69" s="154"/>
      <c r="G69" s="132"/>
      <c r="H69" s="166" t="s">
        <v>287</v>
      </c>
      <c r="I69" s="167"/>
      <c r="J69" s="168">
        <f>IF(I69="",0,323)</f>
        <v>0</v>
      </c>
      <c r="K69" s="132"/>
      <c r="L69" s="132"/>
    </row>
    <row r="70" spans="1:12" ht="6.75" customHeight="1" x14ac:dyDescent="0.2">
      <c r="A70" s="132"/>
      <c r="B70" s="132"/>
      <c r="C70" s="132"/>
      <c r="D70" s="132"/>
      <c r="E70" s="132"/>
      <c r="F70" s="154"/>
      <c r="G70" s="132"/>
      <c r="H70" s="166"/>
      <c r="I70" s="170"/>
      <c r="J70" s="168"/>
      <c r="K70" s="132"/>
      <c r="L70" s="132"/>
    </row>
    <row r="71" spans="1:12" x14ac:dyDescent="0.2">
      <c r="A71" s="132"/>
      <c r="B71" s="132"/>
      <c r="C71" s="132"/>
      <c r="D71" s="132"/>
      <c r="E71" s="132"/>
      <c r="F71" s="154"/>
      <c r="G71" s="132"/>
      <c r="H71" s="166" t="s">
        <v>288</v>
      </c>
      <c r="I71" s="167"/>
      <c r="J71" s="168">
        <f>IF(I71="",0,330.8)</f>
        <v>0</v>
      </c>
      <c r="K71" s="132"/>
      <c r="L71" s="132"/>
    </row>
    <row r="72" spans="1:12" ht="6.75" customHeight="1" x14ac:dyDescent="0.2">
      <c r="A72" s="132"/>
      <c r="B72" s="132"/>
      <c r="C72" s="132"/>
      <c r="D72" s="132"/>
      <c r="E72" s="132"/>
      <c r="F72" s="154"/>
      <c r="G72" s="132"/>
      <c r="H72" s="132"/>
      <c r="I72" s="132"/>
      <c r="J72" s="172"/>
      <c r="K72" s="132"/>
      <c r="L72" s="132"/>
    </row>
    <row r="73" spans="1:12" x14ac:dyDescent="0.2">
      <c r="A73" s="132"/>
      <c r="B73" s="132"/>
      <c r="C73" s="132"/>
      <c r="D73" s="132"/>
      <c r="E73" s="132"/>
      <c r="F73" s="132"/>
      <c r="G73" s="132"/>
      <c r="H73" s="171" t="s">
        <v>91</v>
      </c>
      <c r="I73" s="132"/>
      <c r="J73" s="168">
        <f>SUM(J11:J71)</f>
        <v>0</v>
      </c>
      <c r="K73" s="132"/>
      <c r="L73" s="132"/>
    </row>
    <row r="74" spans="1:12" ht="6.75" customHeight="1" x14ac:dyDescent="0.2">
      <c r="A74" s="132"/>
      <c r="B74" s="132"/>
      <c r="C74" s="132"/>
      <c r="D74" s="132"/>
      <c r="E74" s="132"/>
      <c r="F74" s="132"/>
      <c r="G74" s="132"/>
      <c r="H74" s="132"/>
      <c r="I74" s="132"/>
      <c r="J74" s="132"/>
      <c r="K74" s="132"/>
      <c r="L74" s="132"/>
    </row>
    <row r="75" spans="1:12" hidden="1" x14ac:dyDescent="0.2">
      <c r="A75" s="132"/>
      <c r="B75" s="132"/>
      <c r="C75" s="132"/>
      <c r="D75" s="132"/>
      <c r="E75" s="132"/>
      <c r="F75" s="132"/>
      <c r="G75" s="132"/>
      <c r="H75" s="545"/>
      <c r="I75" s="545"/>
      <c r="J75" s="545"/>
      <c r="K75" s="545"/>
      <c r="L75" s="132"/>
    </row>
    <row r="76" spans="1:12" hidden="1" x14ac:dyDescent="0.2">
      <c r="A76" s="132"/>
      <c r="B76" s="132"/>
      <c r="C76" s="132"/>
      <c r="D76" s="132"/>
      <c r="E76" s="132"/>
      <c r="F76" s="132"/>
      <c r="G76" s="132"/>
      <c r="H76" s="132"/>
      <c r="I76" s="132"/>
      <c r="J76" s="132"/>
      <c r="K76" s="132"/>
      <c r="L76" s="132"/>
    </row>
    <row r="77" spans="1:12" hidden="1" x14ac:dyDescent="0.2">
      <c r="A77" s="132"/>
      <c r="B77" s="132"/>
      <c r="C77" s="132"/>
      <c r="D77" s="132"/>
      <c r="E77" s="132"/>
      <c r="F77" s="132"/>
      <c r="G77" s="132"/>
      <c r="H77" s="132"/>
      <c r="I77" s="132"/>
      <c r="J77" s="132"/>
      <c r="K77" s="132"/>
      <c r="L77" s="132"/>
    </row>
  </sheetData>
  <mergeCells count="7">
    <mergeCell ref="H75:K75"/>
    <mergeCell ref="B3:J3"/>
    <mergeCell ref="B6:D6"/>
    <mergeCell ref="H6:J6"/>
    <mergeCell ref="B8:D8"/>
    <mergeCell ref="H8:J8"/>
    <mergeCell ref="B29:D29"/>
  </mergeCells>
  <conditionalFormatting sqref="D11:D25 D27 J11:J73">
    <cfRule type="cellIs" dxfId="58" priority="1" stopIfTrue="1" operator="equal">
      <formula>0</formula>
    </cfRule>
  </conditionalFormatting>
  <printOptions horizontalCentered="1"/>
  <pageMargins left="0.19685039370078741" right="0.15748031496062992" top="0.59055118110236227" bottom="0.39370078740157483" header="0" footer="0"/>
  <pageSetup paperSize="9" scale="86" firstPageNumber="0" orientation="portrait" horizontalDpi="300" verticalDpi="300" r:id="rId1"/>
  <headerFooter alignWithMargins="0">
    <oddHeader>&amp;L&amp;G&amp;CTRIBUNAL DE JUSTIÇA DO ESTADO DO RIO DE JANEIRO 
CENTRAL DE ARQUIVAMENTO NUR1</oddHeader>
    <oddFooter>&amp;LFRM-CARQ-002-01&amp;CREV.: 00                      Data: 20/04/2018
&amp;R&amp;P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6"/>
  <sheetViews>
    <sheetView showGridLines="0" topLeftCell="A64" zoomScaleNormal="100" workbookViewId="0">
      <selection activeCell="H90" sqref="H90"/>
    </sheetView>
  </sheetViews>
  <sheetFormatPr defaultRowHeight="12.75" x14ac:dyDescent="0.2"/>
  <cols>
    <col min="1" max="1" width="3.85546875" style="139" customWidth="1"/>
    <col min="2" max="2" width="12.7109375" style="139" customWidth="1"/>
    <col min="3" max="3" width="1.28515625" style="139" customWidth="1"/>
    <col min="4" max="4" width="32.140625" style="139" customWidth="1"/>
    <col min="5" max="5" width="1.28515625" style="139" customWidth="1"/>
    <col min="6" max="6" width="14.140625" style="139" customWidth="1"/>
    <col min="7" max="7" width="1.28515625" style="139" customWidth="1"/>
    <col min="8" max="8" width="12.5703125" style="139" customWidth="1"/>
    <col min="9" max="9" width="10.7109375" style="139" customWidth="1"/>
    <col min="10" max="10" width="19.42578125" style="139" customWidth="1"/>
    <col min="11" max="11" width="3.7109375" style="139" customWidth="1"/>
    <col min="12" max="12" width="1.85546875" style="139" customWidth="1"/>
    <col min="13" max="13" width="3.85546875" style="139" customWidth="1"/>
    <col min="14" max="14" width="1.7109375" style="139" customWidth="1"/>
    <col min="15" max="15" width="5.7109375" style="139" customWidth="1"/>
    <col min="16" max="16" width="1.140625" style="139" customWidth="1"/>
    <col min="17" max="18" width="9.140625" style="139"/>
    <col min="19" max="19" width="8.42578125" style="139" customWidth="1"/>
    <col min="20" max="20" width="9.140625" style="173" hidden="1" customWidth="1"/>
    <col min="21" max="23" width="9.140625" style="138" hidden="1" customWidth="1"/>
    <col min="24" max="24" width="9.140625" style="139" hidden="1" customWidth="1"/>
    <col min="25" max="27" width="9.140625" style="139" customWidth="1"/>
    <col min="28" max="16384" width="9.140625" style="139"/>
  </cols>
  <sheetData>
    <row r="1" spans="1:23" x14ac:dyDescent="0.2">
      <c r="A1" s="132"/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74"/>
      <c r="U1" s="175"/>
      <c r="V1" s="175"/>
      <c r="W1" s="175"/>
    </row>
    <row r="2" spans="1:23" ht="3" customHeight="1" x14ac:dyDescent="0.2">
      <c r="A2" s="132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32"/>
    </row>
    <row r="3" spans="1:23" ht="22.5" x14ac:dyDescent="0.45">
      <c r="A3" s="132"/>
      <c r="B3" s="535" t="s">
        <v>289</v>
      </c>
      <c r="C3" s="535"/>
      <c r="D3" s="535"/>
      <c r="E3" s="535"/>
      <c r="F3" s="535"/>
      <c r="G3" s="535"/>
      <c r="H3" s="535"/>
      <c r="I3" s="535"/>
      <c r="J3" s="535"/>
      <c r="K3" s="535"/>
      <c r="L3" s="535"/>
      <c r="M3" s="535"/>
      <c r="N3" s="535"/>
      <c r="O3" s="535"/>
      <c r="P3" s="535"/>
      <c r="Q3" s="535"/>
      <c r="R3" s="535"/>
      <c r="S3" s="132"/>
      <c r="U3" s="175"/>
    </row>
    <row r="4" spans="1:23" ht="15.75" x14ac:dyDescent="0.25">
      <c r="A4" s="132"/>
      <c r="B4" s="543" t="s">
        <v>373</v>
      </c>
      <c r="C4" s="543"/>
      <c r="D4" s="543"/>
      <c r="E4" s="543"/>
      <c r="F4" s="543"/>
      <c r="G4" s="543"/>
      <c r="H4" s="543"/>
      <c r="I4" s="543"/>
      <c r="J4" s="543"/>
      <c r="K4" s="543"/>
      <c r="L4" s="543"/>
      <c r="M4" s="543"/>
      <c r="N4" s="543"/>
      <c r="O4" s="543"/>
      <c r="P4" s="543"/>
      <c r="Q4" s="543"/>
      <c r="R4" s="543"/>
      <c r="S4" s="132"/>
    </row>
    <row r="5" spans="1:23" ht="3" customHeight="1" x14ac:dyDescent="0.2">
      <c r="A5" s="132"/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32"/>
    </row>
    <row r="6" spans="1:23" x14ac:dyDescent="0.2">
      <c r="A6" s="132"/>
      <c r="B6" s="132"/>
      <c r="C6" s="132"/>
      <c r="D6" s="132"/>
      <c r="E6" s="132"/>
      <c r="F6" s="157"/>
      <c r="G6" s="157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</row>
    <row r="7" spans="1:23" x14ac:dyDescent="0.2">
      <c r="A7" s="132"/>
      <c r="B7" s="132"/>
      <c r="C7" s="132"/>
      <c r="D7" s="132"/>
      <c r="E7" s="132"/>
      <c r="F7" s="171" t="s">
        <v>4</v>
      </c>
      <c r="G7" s="549" t="str">
        <f>IF('Atos Serv. Jud. Lei. 6369'!H7="","",'Atos Serv. Jud. Lei. 6369'!H7)</f>
        <v/>
      </c>
      <c r="H7" s="549"/>
      <c r="I7" s="549"/>
      <c r="J7" s="176"/>
      <c r="K7" s="176"/>
      <c r="L7" s="176"/>
      <c r="M7" s="176"/>
      <c r="N7" s="176"/>
      <c r="O7" s="176"/>
      <c r="P7" s="176"/>
      <c r="Q7" s="132"/>
      <c r="R7" s="132"/>
      <c r="S7" s="132"/>
      <c r="U7" s="175"/>
      <c r="V7" s="177"/>
      <c r="W7" s="178"/>
    </row>
    <row r="8" spans="1:23" ht="6.75" customHeight="1" x14ac:dyDescent="0.2">
      <c r="A8" s="132"/>
      <c r="B8" s="132"/>
      <c r="C8" s="132"/>
      <c r="D8" s="132"/>
      <c r="E8" s="132"/>
      <c r="F8" s="179"/>
      <c r="G8" s="157"/>
      <c r="H8" s="132"/>
      <c r="I8" s="157"/>
      <c r="J8" s="157"/>
      <c r="K8" s="157"/>
      <c r="L8" s="157"/>
      <c r="M8" s="157"/>
      <c r="N8" s="157"/>
      <c r="O8" s="157"/>
      <c r="P8" s="157"/>
      <c r="Q8" s="132"/>
      <c r="R8" s="132"/>
      <c r="S8" s="132"/>
      <c r="V8" s="175"/>
    </row>
    <row r="9" spans="1:23" x14ac:dyDescent="0.2">
      <c r="A9" s="132"/>
      <c r="B9" s="132"/>
      <c r="C9" s="132"/>
      <c r="D9" s="132"/>
      <c r="E9" s="132"/>
      <c r="F9" s="171" t="s">
        <v>290</v>
      </c>
      <c r="G9" s="550"/>
      <c r="H9" s="550"/>
      <c r="I9" s="550"/>
      <c r="J9" s="180" t="s">
        <v>291</v>
      </c>
      <c r="K9" s="110"/>
      <c r="L9" s="181" t="s">
        <v>292</v>
      </c>
      <c r="M9" s="182"/>
      <c r="N9" s="181" t="s">
        <v>292</v>
      </c>
      <c r="O9" s="182"/>
      <c r="P9" s="183"/>
      <c r="Q9" s="171" t="s">
        <v>293</v>
      </c>
      <c r="R9" s="184"/>
      <c r="S9" s="132"/>
      <c r="U9" s="99">
        <f>IF(O9=0,0,IF(O9=1999,0.977,IF(O9=2000,1.0641,IF(O9=2001,1.1283,IF(O9=2002,1.213,IF(O9=2003,1.3584,IF(O9=2004,1.4924,IF(O9=2005,1.6049,V9))))))))</f>
        <v>0</v>
      </c>
      <c r="V9" s="5" t="str">
        <f>IF(O9=2006,1.6992,IF(O9=2007,1.7495,IF(O9=2008,1.8258,IF(O9=2009,1.9372,IF(O9=2010,2.0183,IF(O9=2011,2.1352,IF(O9=2012,2.2752,IF(O9=2013,2.4066,W9))))))))</f>
        <v>O ano não está correto para o intervalo</v>
      </c>
      <c r="W9" s="178" t="str">
        <f>IF(O9=2014,2.5473,IF(O9=2015,2.7119,IF(O9=2016,3.0023,IF(O9=2017,3.1999,IF(O9=2018,1,"O ano não está correto para o intervalo")))))</f>
        <v>O ano não está correto para o intervalo</v>
      </c>
    </row>
    <row r="10" spans="1:23" ht="6.75" customHeight="1" x14ac:dyDescent="0.2">
      <c r="A10" s="132"/>
      <c r="B10" s="132"/>
      <c r="C10" s="132"/>
      <c r="D10" s="132"/>
      <c r="E10" s="132"/>
      <c r="F10" s="171"/>
      <c r="G10" s="185"/>
      <c r="H10" s="185"/>
      <c r="I10" s="185"/>
      <c r="J10" s="180"/>
      <c r="K10" s="186"/>
      <c r="L10" s="181"/>
      <c r="M10" s="183"/>
      <c r="N10" s="181"/>
      <c r="O10" s="183"/>
      <c r="P10" s="183"/>
      <c r="Q10" s="171"/>
      <c r="R10" s="132"/>
      <c r="S10" s="132"/>
      <c r="U10" s="175"/>
      <c r="V10" s="175"/>
      <c r="W10" s="178"/>
    </row>
    <row r="11" spans="1:23" x14ac:dyDescent="0.2">
      <c r="A11" s="132"/>
      <c r="B11" s="132"/>
      <c r="C11" s="132"/>
      <c r="D11" s="132"/>
      <c r="E11" s="132"/>
      <c r="F11" s="171"/>
      <c r="G11" s="185"/>
      <c r="H11" s="185"/>
      <c r="I11" s="185"/>
      <c r="J11" s="547" t="str">
        <f>IF(U9="O ano não está correto para o intervalo","O ano não está correto para o intervalo","")</f>
        <v/>
      </c>
      <c r="K11" s="547"/>
      <c r="L11" s="547"/>
      <c r="M11" s="547"/>
      <c r="N11" s="547"/>
      <c r="O11" s="547"/>
      <c r="P11" s="547"/>
      <c r="Q11" s="547"/>
      <c r="R11" s="547"/>
      <c r="S11" s="132"/>
      <c r="U11" s="175"/>
      <c r="V11" s="175"/>
      <c r="W11" s="178"/>
    </row>
    <row r="12" spans="1:23" ht="6.75" customHeight="1" x14ac:dyDescent="0.2">
      <c r="A12" s="132"/>
      <c r="B12" s="132"/>
      <c r="C12" s="132"/>
      <c r="D12" s="132"/>
      <c r="E12" s="132"/>
      <c r="F12" s="132"/>
      <c r="G12" s="132"/>
      <c r="H12" s="171"/>
      <c r="I12" s="416"/>
      <c r="J12" s="416"/>
      <c r="K12" s="416"/>
      <c r="L12" s="416"/>
      <c r="M12" s="416"/>
      <c r="N12" s="416"/>
      <c r="O12" s="416"/>
      <c r="P12" s="416"/>
      <c r="Q12" s="132"/>
      <c r="R12" s="132"/>
      <c r="S12" s="132"/>
      <c r="V12" s="175" t="s">
        <v>294</v>
      </c>
      <c r="W12" s="175" t="s">
        <v>295</v>
      </c>
    </row>
    <row r="13" spans="1:23" ht="12.75" customHeight="1" x14ac:dyDescent="0.2">
      <c r="A13" s="132"/>
      <c r="B13" s="132"/>
      <c r="C13" s="132"/>
      <c r="D13" s="132"/>
      <c r="E13" s="132"/>
      <c r="F13" s="551" t="s">
        <v>296</v>
      </c>
      <c r="G13" s="551"/>
      <c r="H13" s="551"/>
      <c r="I13" s="551"/>
      <c r="J13" s="551"/>
      <c r="K13" s="20"/>
      <c r="L13" s="416"/>
      <c r="M13" s="512" t="str">
        <f>IF(T13&gt;1,"Escolher uma opção","")</f>
        <v/>
      </c>
      <c r="N13" s="512"/>
      <c r="O13" s="512"/>
      <c r="P13" s="512"/>
      <c r="Q13" s="512"/>
      <c r="R13" s="512"/>
      <c r="S13" s="132"/>
      <c r="T13" s="138">
        <f>COUNTA(K13,K15,K17)</f>
        <v>0</v>
      </c>
      <c r="U13" s="175">
        <f>(H20+H24+H26+H28+H30+H32+H35+H37+H41)*0.05</f>
        <v>0</v>
      </c>
      <c r="V13" s="175">
        <f>IF($T$13&gt;1,0,IF(K13="",0,$U$13))</f>
        <v>0</v>
      </c>
      <c r="W13" s="175">
        <f>V13</f>
        <v>0</v>
      </c>
    </row>
    <row r="14" spans="1:23" ht="6.75" customHeight="1" x14ac:dyDescent="0.2">
      <c r="A14" s="132"/>
      <c r="B14" s="132"/>
      <c r="C14" s="132"/>
      <c r="D14" s="132"/>
      <c r="E14" s="132"/>
      <c r="F14" s="187"/>
      <c r="G14" s="187"/>
      <c r="H14" s="187"/>
      <c r="I14" s="187"/>
      <c r="J14" s="187"/>
      <c r="K14" s="7"/>
      <c r="L14" s="416"/>
      <c r="M14" s="414"/>
      <c r="N14" s="414"/>
      <c r="O14" s="414"/>
      <c r="P14" s="414"/>
      <c r="Q14" s="414"/>
      <c r="R14" s="414"/>
      <c r="S14" s="132"/>
      <c r="T14" s="138"/>
      <c r="U14" s="175"/>
      <c r="V14" s="175"/>
      <c r="W14" s="175"/>
    </row>
    <row r="15" spans="1:23" ht="12.75" customHeight="1" x14ac:dyDescent="0.2">
      <c r="A15" s="132"/>
      <c r="B15" s="132"/>
      <c r="C15" s="132"/>
      <c r="D15" s="132"/>
      <c r="E15" s="132"/>
      <c r="F15" s="551" t="s">
        <v>297</v>
      </c>
      <c r="G15" s="551"/>
      <c r="H15" s="551"/>
      <c r="I15" s="551"/>
      <c r="J15" s="551"/>
      <c r="K15" s="20"/>
      <c r="L15" s="416"/>
      <c r="M15" s="414"/>
      <c r="N15" s="414"/>
      <c r="O15" s="414"/>
      <c r="P15" s="414"/>
      <c r="Q15" s="414"/>
      <c r="R15" s="414"/>
      <c r="S15" s="132"/>
      <c r="T15" s="138"/>
      <c r="U15" s="175"/>
      <c r="V15" s="175">
        <f>IF(T13&gt;1,0,IF(K15="",0,$U$13-$U$17))</f>
        <v>0</v>
      </c>
      <c r="W15" s="175">
        <f>IF($T$13&gt;1,0,IF(K15="",0,$U$13))</f>
        <v>0</v>
      </c>
    </row>
    <row r="16" spans="1:23" ht="6.75" customHeight="1" x14ac:dyDescent="0.2">
      <c r="A16" s="132"/>
      <c r="B16" s="132"/>
      <c r="C16" s="132"/>
      <c r="D16" s="132"/>
      <c r="E16" s="132"/>
      <c r="F16" s="132"/>
      <c r="G16" s="132"/>
      <c r="H16" s="171"/>
      <c r="I16" s="416"/>
      <c r="J16" s="416"/>
      <c r="K16" s="7"/>
      <c r="L16" s="416"/>
      <c r="M16" s="416"/>
      <c r="N16" s="416"/>
      <c r="O16" s="416"/>
      <c r="P16" s="416"/>
      <c r="Q16" s="132"/>
      <c r="R16" s="132"/>
      <c r="S16" s="132"/>
      <c r="U16" s="175"/>
      <c r="V16" s="175"/>
      <c r="W16" s="175"/>
    </row>
    <row r="17" spans="1:23" ht="12.75" customHeight="1" x14ac:dyDescent="0.2">
      <c r="A17" s="132"/>
      <c r="B17" s="132"/>
      <c r="C17" s="132"/>
      <c r="D17" s="132"/>
      <c r="E17" s="132"/>
      <c r="F17" s="551" t="s">
        <v>298</v>
      </c>
      <c r="G17" s="551"/>
      <c r="H17" s="551"/>
      <c r="I17" s="551"/>
      <c r="J17" s="551"/>
      <c r="K17" s="20"/>
      <c r="L17" s="416"/>
      <c r="M17" s="416"/>
      <c r="N17" s="416"/>
      <c r="O17" s="416"/>
      <c r="P17" s="416"/>
      <c r="Q17" s="132"/>
      <c r="R17" s="132"/>
      <c r="S17" s="132"/>
      <c r="U17" s="175">
        <f>(H20+H24+H26+H28+H30+H32+H35+H37)*0.05</f>
        <v>0</v>
      </c>
      <c r="V17" s="175">
        <f>IF(T13&gt;1,0,IF(K17="",0,$U$13-$U$17))</f>
        <v>0</v>
      </c>
      <c r="W17" s="175"/>
    </row>
    <row r="18" spans="1:23" ht="6.75" customHeight="1" x14ac:dyDescent="0.2">
      <c r="A18" s="132"/>
      <c r="B18" s="132"/>
      <c r="C18" s="132"/>
      <c r="D18" s="132"/>
      <c r="E18" s="132"/>
      <c r="F18" s="132"/>
      <c r="G18" s="132"/>
      <c r="H18" s="171"/>
      <c r="I18" s="416"/>
      <c r="J18" s="416"/>
      <c r="K18" s="416"/>
      <c r="L18" s="416"/>
      <c r="M18" s="416"/>
      <c r="N18" s="416"/>
      <c r="O18" s="416"/>
      <c r="P18" s="416"/>
      <c r="Q18" s="132"/>
      <c r="R18" s="132"/>
      <c r="S18" s="132"/>
    </row>
    <row r="19" spans="1:23" ht="38.25" x14ac:dyDescent="0.2">
      <c r="A19" s="132"/>
      <c r="B19" s="188" t="s">
        <v>299</v>
      </c>
      <c r="C19" s="188"/>
      <c r="D19" s="188" t="s">
        <v>300</v>
      </c>
      <c r="E19" s="188"/>
      <c r="F19" s="188" t="s">
        <v>301</v>
      </c>
      <c r="G19" s="188"/>
      <c r="H19" s="188" t="s">
        <v>302</v>
      </c>
      <c r="I19" s="132"/>
      <c r="J19" s="158"/>
      <c r="K19" s="132"/>
      <c r="L19" s="132"/>
      <c r="M19" s="132"/>
      <c r="N19" s="132"/>
      <c r="O19" s="132"/>
      <c r="P19" s="132"/>
      <c r="Q19" s="132"/>
      <c r="R19" s="132"/>
      <c r="S19" s="132"/>
      <c r="U19" s="189" t="s">
        <v>303</v>
      </c>
      <c r="V19" s="189">
        <f>SUM(V13:V17)</f>
        <v>0</v>
      </c>
      <c r="W19" s="189">
        <f>SUM(W13:W17)</f>
        <v>0</v>
      </c>
    </row>
    <row r="20" spans="1:23" x14ac:dyDescent="0.2">
      <c r="A20" s="132"/>
      <c r="B20" s="12" t="s">
        <v>304</v>
      </c>
      <c r="C20" s="12"/>
      <c r="D20" s="50" t="s">
        <v>305</v>
      </c>
      <c r="E20" s="50"/>
      <c r="F20" s="190"/>
      <c r="G20" s="418"/>
      <c r="H20" s="134">
        <f>IF($O$9="",F20,IF($U$9=0,"ERRO",IF($U$9="O ano não está correto para o intervalo","ERRO",IF($O$9=2018,F20,ROUND((F20/$U$9)*3.2939,2)))))</f>
        <v>0</v>
      </c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132"/>
    </row>
    <row r="21" spans="1:23" ht="6.75" customHeight="1" x14ac:dyDescent="0.2">
      <c r="A21" s="132"/>
      <c r="B21" s="12"/>
      <c r="C21" s="12"/>
      <c r="D21" s="50"/>
      <c r="E21" s="50"/>
      <c r="F21" s="418"/>
      <c r="G21" s="418"/>
      <c r="H21" s="134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</row>
    <row r="22" spans="1:23" x14ac:dyDescent="0.2">
      <c r="A22" s="132"/>
      <c r="B22" s="12"/>
      <c r="C22" s="12"/>
      <c r="D22" s="50" t="s">
        <v>306</v>
      </c>
      <c r="E22" s="50"/>
      <c r="F22" s="190"/>
      <c r="G22" s="418"/>
      <c r="H22" s="134">
        <f>IF($O$9="",F22,IF($U$9=0,"ERRO",IF($U$9="O ano não está correto para o intervalo","ERRO",IF($O$9=2018,F22,ROUND((F22/$U$9)*3.2939,2)))))</f>
        <v>0</v>
      </c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</row>
    <row r="23" spans="1:23" ht="6.75" customHeight="1" x14ac:dyDescent="0.2">
      <c r="A23" s="132"/>
      <c r="B23" s="12"/>
      <c r="C23" s="12"/>
      <c r="D23" s="50"/>
      <c r="E23" s="50"/>
      <c r="F23" s="418"/>
      <c r="G23" s="418"/>
      <c r="H23" s="134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</row>
    <row r="24" spans="1:23" x14ac:dyDescent="0.2">
      <c r="A24" s="132"/>
      <c r="B24" s="12" t="s">
        <v>307</v>
      </c>
      <c r="C24" s="12"/>
      <c r="D24" s="50" t="s">
        <v>308</v>
      </c>
      <c r="E24" s="50"/>
      <c r="F24" s="190"/>
      <c r="G24" s="418"/>
      <c r="H24" s="134">
        <f>IF($O$9="",F24,IF($U$9=0,"ERRO",IF($U$9="O ano não está correto para o intervalo","ERRO",IF($O$9=2018,F24,ROUND((F24/$U$9)*3.2939,2)))))</f>
        <v>0</v>
      </c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</row>
    <row r="25" spans="1:23" ht="6.75" customHeight="1" x14ac:dyDescent="0.2">
      <c r="A25" s="132"/>
      <c r="B25" s="12"/>
      <c r="C25" s="12"/>
      <c r="D25" s="50"/>
      <c r="E25" s="50"/>
      <c r="F25" s="418"/>
      <c r="G25" s="418"/>
      <c r="H25" s="134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</row>
    <row r="26" spans="1:23" ht="12.75" customHeight="1" x14ac:dyDescent="0.2">
      <c r="A26" s="132"/>
      <c r="B26" s="12" t="s">
        <v>309</v>
      </c>
      <c r="C26" s="12"/>
      <c r="D26" s="50" t="s">
        <v>310</v>
      </c>
      <c r="E26" s="50"/>
      <c r="F26" s="190"/>
      <c r="G26" s="418"/>
      <c r="H26" s="134">
        <f>IF($O$9="",F26,IF($U$9=0,"ERRO",IF($U$9="O ano não está correto para o intervalo","ERRO",IF($O$9=2018,F26,ROUND((F26/$U$9)*3.2939,2)))))</f>
        <v>0</v>
      </c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</row>
    <row r="27" spans="1:23" ht="6.75" customHeight="1" x14ac:dyDescent="0.2">
      <c r="A27" s="132"/>
      <c r="B27" s="12"/>
      <c r="C27" s="12"/>
      <c r="D27" s="50"/>
      <c r="E27" s="50"/>
      <c r="F27" s="418"/>
      <c r="G27" s="418"/>
      <c r="H27" s="134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</row>
    <row r="28" spans="1:23" x14ac:dyDescent="0.2">
      <c r="A28" s="132"/>
      <c r="B28" s="12" t="s">
        <v>311</v>
      </c>
      <c r="C28" s="12"/>
      <c r="D28" s="50" t="s">
        <v>312</v>
      </c>
      <c r="E28" s="50"/>
      <c r="F28" s="190"/>
      <c r="G28" s="418"/>
      <c r="H28" s="134">
        <f>IF($O$9="",F28,IF($U$9=0,"ERRO",IF($U$9="O ano não está correto para o intervalo","ERRO",IF($O$9=2018,F28,ROUND((F28/$U$9)*3.2939,2)))))</f>
        <v>0</v>
      </c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</row>
    <row r="29" spans="1:23" ht="6.75" customHeight="1" x14ac:dyDescent="0.2">
      <c r="A29" s="132"/>
      <c r="B29" s="12"/>
      <c r="C29" s="12"/>
      <c r="D29" s="50"/>
      <c r="E29" s="50"/>
      <c r="F29" s="330"/>
      <c r="G29" s="418"/>
      <c r="H29" s="134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</row>
    <row r="30" spans="1:23" ht="12.75" customHeight="1" x14ac:dyDescent="0.2">
      <c r="A30" s="132"/>
      <c r="B30" s="12" t="s">
        <v>313</v>
      </c>
      <c r="C30" s="12"/>
      <c r="D30" s="50" t="s">
        <v>314</v>
      </c>
      <c r="E30" s="50"/>
      <c r="F30" s="190"/>
      <c r="G30" s="418"/>
      <c r="H30" s="134">
        <f>IF($O$9="",F30,IF($U$9=0,"ERRO",IF($U$9="O ano não está correto para o intervalo","ERRO",IF($O$9=2018,F30,ROUND((F30/$U$9)*3.2939,2)))))</f>
        <v>0</v>
      </c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</row>
    <row r="31" spans="1:23" ht="6.75" customHeight="1" x14ac:dyDescent="0.2">
      <c r="A31" s="132"/>
      <c r="B31" s="12"/>
      <c r="C31" s="12"/>
      <c r="D31" s="50"/>
      <c r="E31" s="50"/>
      <c r="F31" s="418"/>
      <c r="G31" s="418"/>
      <c r="H31" s="134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</row>
    <row r="32" spans="1:23" ht="12.75" customHeight="1" x14ac:dyDescent="0.2">
      <c r="A32" s="132"/>
      <c r="B32" s="12" t="s">
        <v>315</v>
      </c>
      <c r="C32" s="12"/>
      <c r="D32" s="50" t="s">
        <v>316</v>
      </c>
      <c r="E32" s="50"/>
      <c r="F32" s="190"/>
      <c r="G32" s="418"/>
      <c r="H32" s="134">
        <f>IF($O$9="",F32,IF($U$9=0,"ERRO",IF($U$9="O ano não está correto para o intervalo","ERRO",IF($O$9=2018,F32,ROUND((F32/$U$9)*3.2939,2)))))</f>
        <v>0</v>
      </c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</row>
    <row r="33" spans="1:21" ht="6" customHeight="1" x14ac:dyDescent="0.2">
      <c r="A33" s="132"/>
      <c r="B33" s="12"/>
      <c r="C33" s="12"/>
      <c r="D33" s="50"/>
      <c r="E33" s="50"/>
      <c r="F33" s="330"/>
      <c r="G33" s="418"/>
      <c r="H33" s="134"/>
      <c r="I33" s="132"/>
      <c r="J33" s="132"/>
      <c r="K33" s="132"/>
      <c r="L33" s="132"/>
      <c r="M33" s="132"/>
      <c r="N33" s="132"/>
      <c r="O33" s="132"/>
      <c r="P33" s="132"/>
      <c r="Q33" s="132"/>
      <c r="R33" s="132"/>
      <c r="S33" s="132"/>
    </row>
    <row r="34" spans="1:21" ht="6.75" customHeight="1" x14ac:dyDescent="0.2">
      <c r="A34" s="132"/>
      <c r="B34" s="12"/>
      <c r="C34" s="12"/>
      <c r="D34" s="50"/>
      <c r="E34" s="50"/>
      <c r="F34" s="418"/>
      <c r="G34" s="418"/>
      <c r="H34" s="134"/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132"/>
    </row>
    <row r="35" spans="1:21" ht="12.75" customHeight="1" x14ac:dyDescent="0.2">
      <c r="A35" s="132"/>
      <c r="B35" s="191"/>
      <c r="C35" s="12"/>
      <c r="D35" s="192"/>
      <c r="E35" s="50"/>
      <c r="F35" s="190"/>
      <c r="G35" s="418"/>
      <c r="H35" s="134">
        <f>IF($O$9="",F35,IF($U$9=0,"ERRO",IF($U$9="O ano não está correto para o intervalo","ERRO",IF($O$9=2018,F35,ROUND((F35/$U$9)*3.2939,2)))))</f>
        <v>0</v>
      </c>
      <c r="I35" s="512" t="str">
        <f>IF(B35="","Falta preencher o Código da Receita",IF(B35=Certidão!B24,"","Recolhimento em conta diversa"))</f>
        <v>Falta preencher o Código da Receita</v>
      </c>
      <c r="J35" s="512"/>
      <c r="K35" s="512"/>
      <c r="L35" s="512"/>
      <c r="M35" s="512"/>
      <c r="N35" s="512"/>
      <c r="O35" s="512"/>
      <c r="P35" s="512"/>
      <c r="Q35" s="512"/>
      <c r="R35" s="512"/>
      <c r="S35" s="132"/>
    </row>
    <row r="36" spans="1:21" ht="6.75" customHeight="1" x14ac:dyDescent="0.2">
      <c r="A36" s="132"/>
      <c r="B36" s="12"/>
      <c r="C36" s="12"/>
      <c r="D36" s="50"/>
      <c r="E36" s="50"/>
      <c r="F36" s="418"/>
      <c r="G36" s="418"/>
      <c r="H36" s="134"/>
      <c r="I36" s="512"/>
      <c r="J36" s="512"/>
      <c r="K36" s="512"/>
      <c r="L36" s="512"/>
      <c r="M36" s="512"/>
      <c r="N36" s="512"/>
      <c r="O36" s="512"/>
      <c r="P36" s="512"/>
      <c r="Q36" s="512"/>
      <c r="R36" s="512"/>
      <c r="S36" s="132"/>
    </row>
    <row r="37" spans="1:21" ht="12.75" customHeight="1" x14ac:dyDescent="0.2">
      <c r="A37" s="132"/>
      <c r="B37" s="184"/>
      <c r="C37" s="12"/>
      <c r="D37" s="184"/>
      <c r="E37" s="50"/>
      <c r="F37" s="190"/>
      <c r="G37" s="418"/>
      <c r="H37" s="134">
        <f>IF($O$9="",F37,IF($U$9=0,"ERRO",IF($U$9="O ano não está correto para o intervalo","ERRO",IF($O$9=2018,F37,ROUND((F37/$U$9)*3.2939,2)))))</f>
        <v>0</v>
      </c>
      <c r="I37" s="512" t="str">
        <f>IF(B37="","Falta preencher o Código da Receita",IF(B37=Certidão!B25,"","Recolhimento em conta diversa"))</f>
        <v>Falta preencher o Código da Receita</v>
      </c>
      <c r="J37" s="512"/>
      <c r="K37" s="512"/>
      <c r="L37" s="512"/>
      <c r="M37" s="512"/>
      <c r="N37" s="512"/>
      <c r="O37" s="512"/>
      <c r="P37" s="512"/>
      <c r="Q37" s="512"/>
      <c r="R37" s="512"/>
      <c r="S37" s="132"/>
    </row>
    <row r="38" spans="1:21" ht="6.75" customHeight="1" x14ac:dyDescent="0.2">
      <c r="A38" s="132"/>
      <c r="B38" s="12"/>
      <c r="C38" s="12"/>
      <c r="D38" s="50"/>
      <c r="E38" s="50"/>
      <c r="F38" s="418"/>
      <c r="G38" s="418"/>
      <c r="H38" s="134"/>
      <c r="I38" s="512"/>
      <c r="J38" s="512"/>
      <c r="K38" s="512"/>
      <c r="L38" s="512"/>
      <c r="M38" s="512"/>
      <c r="N38" s="512"/>
      <c r="O38" s="512"/>
      <c r="P38" s="512"/>
      <c r="Q38" s="512"/>
      <c r="R38" s="512"/>
      <c r="S38" s="132"/>
    </row>
    <row r="39" spans="1:21" x14ac:dyDescent="0.2">
      <c r="A39" s="132"/>
      <c r="B39" s="12" t="s">
        <v>317</v>
      </c>
      <c r="C39" s="12"/>
      <c r="D39" s="50" t="s">
        <v>318</v>
      </c>
      <c r="E39" s="50"/>
      <c r="F39" s="190"/>
      <c r="G39" s="418"/>
      <c r="H39" s="134">
        <f>IF($O$9="",F39,IF($U$9=0,"ERRO",IF($U$9="O ano não está correto para o intervalo","ERRO",IF($O$9=2018,F39,ROUND((F39/$U$9)*3.2939,2)))))</f>
        <v>0</v>
      </c>
      <c r="I39" s="512"/>
      <c r="J39" s="512"/>
      <c r="K39" s="512"/>
      <c r="L39" s="512"/>
      <c r="M39" s="512"/>
      <c r="N39" s="512"/>
      <c r="O39" s="512"/>
      <c r="P39" s="512"/>
      <c r="Q39" s="512"/>
      <c r="R39" s="512"/>
      <c r="S39" s="132"/>
    </row>
    <row r="40" spans="1:21" ht="6.75" customHeight="1" x14ac:dyDescent="0.2">
      <c r="A40" s="132"/>
      <c r="B40" s="12"/>
      <c r="C40" s="12"/>
      <c r="D40" s="50"/>
      <c r="E40" s="50"/>
      <c r="F40" s="418"/>
      <c r="G40" s="418"/>
      <c r="H40" s="134"/>
      <c r="I40" s="512"/>
      <c r="J40" s="512"/>
      <c r="K40" s="512"/>
      <c r="L40" s="512"/>
      <c r="M40" s="512"/>
      <c r="N40" s="512"/>
      <c r="O40" s="512"/>
      <c r="P40" s="512"/>
      <c r="Q40" s="512"/>
      <c r="R40" s="512"/>
      <c r="S40" s="132"/>
    </row>
    <row r="41" spans="1:21" x14ac:dyDescent="0.2">
      <c r="A41" s="132"/>
      <c r="B41" s="193"/>
      <c r="C41" s="194"/>
      <c r="D41" s="50" t="s">
        <v>319</v>
      </c>
      <c r="E41" s="50"/>
      <c r="F41" s="190"/>
      <c r="G41" s="418"/>
      <c r="H41" s="134">
        <f>IF($O$9="",F41,IF($U$9=0,"ERRO",IF($U$9="O ano não está correto para o intervalo","ERRO",IF($O$9=2018,F41,ROUND((F41/$U$9)*3.2939,2)))))</f>
        <v>0</v>
      </c>
      <c r="I41" s="512" t="str">
        <f>IF(B41="","Falta preencher o Código da Receita",IF(B41=Certidão!B27,"","Recolhimento em conta diversa"))</f>
        <v>Falta preencher o Código da Receita</v>
      </c>
      <c r="J41" s="512"/>
      <c r="K41" s="512"/>
      <c r="L41" s="512"/>
      <c r="M41" s="512"/>
      <c r="N41" s="512"/>
      <c r="O41" s="512"/>
      <c r="P41" s="512"/>
      <c r="Q41" s="512"/>
      <c r="R41" s="512"/>
      <c r="S41" s="132"/>
      <c r="U41" s="139">
        <f>IF(I41="Recolhimento em conta diversa",0,H41)</f>
        <v>0</v>
      </c>
    </row>
    <row r="42" spans="1:21" ht="6.75" customHeight="1" x14ac:dyDescent="0.2">
      <c r="A42" s="132"/>
      <c r="B42" s="195"/>
      <c r="C42" s="194"/>
      <c r="D42" s="50"/>
      <c r="E42" s="50"/>
      <c r="F42" s="133"/>
      <c r="G42" s="418"/>
      <c r="H42" s="134"/>
      <c r="I42" s="414"/>
      <c r="J42" s="414"/>
      <c r="K42" s="414"/>
      <c r="L42" s="414"/>
      <c r="M42" s="414"/>
      <c r="N42" s="414"/>
      <c r="O42" s="414"/>
      <c r="P42" s="414"/>
      <c r="Q42" s="414"/>
      <c r="R42" s="414"/>
      <c r="S42" s="132"/>
      <c r="U42" s="139"/>
    </row>
    <row r="43" spans="1:21" x14ac:dyDescent="0.2">
      <c r="A43" s="132"/>
      <c r="B43" s="193"/>
      <c r="C43" s="194"/>
      <c r="D43" s="50" t="s">
        <v>320</v>
      </c>
      <c r="E43" s="50"/>
      <c r="F43" s="190"/>
      <c r="G43" s="418"/>
      <c r="H43" s="134">
        <f>IF($O$9="",F43,IF($U$9=0,"ERRO",IF($U$9="O ano não está correto para o intervalo","ERRO",IF($O$9=2018,F43,ROUND((F43/$U$9)*3.2939,2)))))</f>
        <v>0</v>
      </c>
      <c r="I43" s="414"/>
      <c r="J43" s="414"/>
      <c r="K43" s="414"/>
      <c r="L43" s="414"/>
      <c r="M43" s="414"/>
      <c r="N43" s="414"/>
      <c r="O43" s="414"/>
      <c r="P43" s="414"/>
      <c r="Q43" s="414"/>
      <c r="R43" s="414"/>
      <c r="S43" s="132"/>
      <c r="U43" s="139"/>
    </row>
    <row r="44" spans="1:21" ht="6.75" customHeight="1" x14ac:dyDescent="0.2">
      <c r="A44" s="132"/>
      <c r="B44" s="194"/>
      <c r="C44" s="194"/>
      <c r="D44" s="50"/>
      <c r="E44" s="50"/>
      <c r="F44" s="418"/>
      <c r="G44" s="418"/>
      <c r="H44" s="134"/>
      <c r="I44" s="132"/>
      <c r="J44" s="132"/>
      <c r="K44" s="132"/>
      <c r="L44" s="132"/>
      <c r="M44" s="132"/>
      <c r="N44" s="132"/>
      <c r="O44" s="132"/>
      <c r="P44" s="132"/>
      <c r="Q44" s="132"/>
      <c r="R44" s="132"/>
      <c r="S44" s="132"/>
    </row>
    <row r="45" spans="1:21" x14ac:dyDescent="0.2">
      <c r="A45" s="132"/>
      <c r="B45" s="194" t="s">
        <v>321</v>
      </c>
      <c r="C45" s="194"/>
      <c r="D45" s="50" t="s">
        <v>322</v>
      </c>
      <c r="E45" s="50"/>
      <c r="F45" s="190"/>
      <c r="G45" s="418"/>
      <c r="H45" s="134">
        <f>IF($O$9="",F45,IF($U$9=0,"ERRO",IF($U$9="O ano não está correto para o intervalo","ERRO",IF($O$9=2018,F45,ROUND((F45/$U$9)*3.2939,2)))))</f>
        <v>0</v>
      </c>
      <c r="I45" s="132"/>
      <c r="J45" s="132"/>
      <c r="K45" s="132"/>
      <c r="L45" s="132"/>
      <c r="M45" s="132"/>
      <c r="N45" s="132"/>
      <c r="O45" s="132"/>
      <c r="P45" s="132"/>
      <c r="Q45" s="132"/>
      <c r="R45" s="132"/>
      <c r="S45" s="132"/>
      <c r="U45" s="175" t="str">
        <f>IF(I41="Recolhimento em conta diversa","D","")</f>
        <v/>
      </c>
    </row>
    <row r="46" spans="1:21" ht="6.75" customHeight="1" x14ac:dyDescent="0.2">
      <c r="A46" s="132"/>
      <c r="B46" s="194"/>
      <c r="C46" s="194"/>
      <c r="D46" s="50"/>
      <c r="E46" s="50"/>
      <c r="F46" s="418"/>
      <c r="G46" s="418"/>
      <c r="H46" s="134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2"/>
    </row>
    <row r="47" spans="1:21" x14ac:dyDescent="0.2">
      <c r="A47" s="132"/>
      <c r="B47" s="12" t="s">
        <v>323</v>
      </c>
      <c r="C47" s="12"/>
      <c r="D47" s="50" t="s">
        <v>324</v>
      </c>
      <c r="E47" s="50"/>
      <c r="F47" s="190"/>
      <c r="G47" s="418"/>
      <c r="H47" s="134">
        <f>IF($O$9="",F47,IF($U$9=0,"ERRO",IF($U$9="O ano não está correto para o intervalo","ERRO",IF($O$9=2018,F47,ROUND((F47/$U$9)*3.2939,2)))))</f>
        <v>0</v>
      </c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U47" s="138">
        <f>IF(I41="Recolhimento em conta diversa",1,0)</f>
        <v>0</v>
      </c>
    </row>
    <row r="48" spans="1:21" ht="6.75" customHeight="1" x14ac:dyDescent="0.2">
      <c r="A48" s="132"/>
      <c r="B48" s="12"/>
      <c r="C48" s="12"/>
      <c r="D48" s="50"/>
      <c r="E48" s="50"/>
      <c r="F48" s="418"/>
      <c r="G48" s="418"/>
      <c r="H48" s="134"/>
      <c r="I48" s="132"/>
      <c r="J48" s="132"/>
      <c r="K48" s="132"/>
      <c r="L48" s="132"/>
      <c r="M48" s="132"/>
      <c r="N48" s="132"/>
      <c r="O48" s="132"/>
      <c r="P48" s="132"/>
      <c r="Q48" s="132"/>
      <c r="R48" s="132"/>
      <c r="S48" s="132"/>
    </row>
    <row r="49" spans="1:19" ht="13.5" customHeight="1" x14ac:dyDescent="0.2">
      <c r="A49" s="132"/>
      <c r="B49" s="12" t="s">
        <v>325</v>
      </c>
      <c r="C49" s="12"/>
      <c r="D49" s="50" t="s">
        <v>326</v>
      </c>
      <c r="E49" s="50"/>
      <c r="F49" s="190"/>
      <c r="G49" s="418"/>
      <c r="H49" s="134">
        <f>IF($O$9="",F49,IF($U$9=0,"ERRO",IF($U$9="O ano não está correto para o intervalo","ERRO",IF($O$9=2018,F49,ROUND((F49/$U$9)*3.2939,2)))))</f>
        <v>0</v>
      </c>
      <c r="I49" s="132"/>
      <c r="J49" s="132"/>
      <c r="K49" s="132"/>
      <c r="L49" s="132"/>
      <c r="M49" s="132"/>
      <c r="N49" s="132"/>
      <c r="O49" s="132"/>
      <c r="P49" s="132"/>
      <c r="Q49" s="132"/>
      <c r="R49" s="132"/>
      <c r="S49" s="132"/>
    </row>
    <row r="50" spans="1:19" ht="6.75" customHeight="1" x14ac:dyDescent="0.2">
      <c r="A50" s="132"/>
      <c r="B50" s="12"/>
      <c r="C50" s="12"/>
      <c r="D50" s="50"/>
      <c r="E50" s="50"/>
      <c r="F50" s="418"/>
      <c r="G50" s="418"/>
      <c r="H50" s="134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</row>
    <row r="51" spans="1:19" x14ac:dyDescent="0.2">
      <c r="A51" s="132"/>
      <c r="B51" s="12" t="s">
        <v>327</v>
      </c>
      <c r="C51" s="12"/>
      <c r="D51" s="50" t="s">
        <v>328</v>
      </c>
      <c r="E51" s="50"/>
      <c r="F51" s="190"/>
      <c r="G51" s="418"/>
      <c r="H51" s="134">
        <f>IF($O$9="",F51,IF($U$9=0,"ERRO",IF($U$9="O ano não está correto para o intervalo","ERRO",IF($O$9=2018,F51,ROUND((F51/$U$9)*3.2939,2)))))</f>
        <v>0</v>
      </c>
      <c r="I51" s="132"/>
      <c r="J51" s="132"/>
      <c r="K51" s="132"/>
      <c r="L51" s="132"/>
      <c r="M51" s="132"/>
      <c r="N51" s="132"/>
      <c r="O51" s="132"/>
      <c r="P51" s="132"/>
      <c r="Q51" s="132"/>
      <c r="R51" s="132"/>
      <c r="S51" s="132"/>
    </row>
    <row r="52" spans="1:19" ht="6.75" customHeight="1" x14ac:dyDescent="0.2">
      <c r="A52" s="132"/>
      <c r="B52" s="132"/>
      <c r="C52" s="132"/>
      <c r="D52" s="132"/>
      <c r="E52" s="132"/>
      <c r="F52" s="170"/>
      <c r="G52" s="170"/>
      <c r="H52" s="134"/>
      <c r="I52" s="132"/>
      <c r="J52" s="132"/>
      <c r="K52" s="132"/>
      <c r="L52" s="132"/>
      <c r="M52" s="132"/>
      <c r="N52" s="132"/>
      <c r="O52" s="132"/>
      <c r="P52" s="132"/>
      <c r="Q52" s="132"/>
      <c r="R52" s="132"/>
      <c r="S52" s="132"/>
    </row>
    <row r="53" spans="1:19" ht="12.75" customHeight="1" x14ac:dyDescent="0.2">
      <c r="A53" s="132"/>
      <c r="B53" s="196"/>
      <c r="C53" s="132"/>
      <c r="D53" s="166" t="s">
        <v>319</v>
      </c>
      <c r="E53" s="166"/>
      <c r="F53" s="190"/>
      <c r="G53" s="170"/>
      <c r="H53" s="134">
        <f>IF($O$9="",F53,IF($U$9=0,"ERRO",IF($U$9="O ano não está correto para o intervalo","ERRO",IF($O$9=2018,F53,ROUND((F53/$U$9)*3.2939,2)))))</f>
        <v>0</v>
      </c>
      <c r="I53" s="132"/>
      <c r="J53" s="132"/>
      <c r="K53" s="132"/>
      <c r="L53" s="132"/>
      <c r="M53" s="132"/>
      <c r="N53" s="132"/>
      <c r="O53" s="132"/>
      <c r="P53" s="132"/>
      <c r="Q53" s="132"/>
      <c r="R53" s="132"/>
      <c r="S53" s="132"/>
    </row>
    <row r="54" spans="1:19" ht="6.75" customHeight="1" x14ac:dyDescent="0.2">
      <c r="A54" s="132"/>
      <c r="B54" s="197"/>
      <c r="C54" s="132"/>
      <c r="D54" s="166"/>
      <c r="E54" s="166"/>
      <c r="F54" s="198"/>
      <c r="G54" s="170"/>
      <c r="H54" s="134"/>
      <c r="I54" s="132"/>
      <c r="J54" s="132"/>
      <c r="K54" s="132"/>
      <c r="L54" s="132"/>
      <c r="M54" s="132"/>
      <c r="N54" s="132"/>
      <c r="O54" s="132"/>
      <c r="P54" s="132"/>
      <c r="Q54" s="132"/>
      <c r="R54" s="132"/>
      <c r="S54" s="132"/>
    </row>
    <row r="55" spans="1:19" ht="12.75" customHeight="1" x14ac:dyDescent="0.2">
      <c r="A55" s="132"/>
      <c r="B55" s="196"/>
      <c r="C55" s="132"/>
      <c r="D55" s="50" t="s">
        <v>320</v>
      </c>
      <c r="E55" s="166"/>
      <c r="F55" s="190"/>
      <c r="G55" s="170"/>
      <c r="H55" s="134">
        <f>IF($O$9="",F55,IF($U$9=0,"ERRO",IF($U$9="O ano não está correto para o intervalo","ERRO",IF($O$9=2018,F55,ROUND((F55/$U$9)*3.2939,2)))))</f>
        <v>0</v>
      </c>
      <c r="I55" s="132"/>
      <c r="J55" s="132"/>
      <c r="K55" s="132"/>
      <c r="L55" s="132"/>
      <c r="M55" s="132"/>
      <c r="N55" s="132"/>
      <c r="O55" s="132"/>
      <c r="P55" s="132"/>
      <c r="Q55" s="132"/>
      <c r="R55" s="132"/>
      <c r="S55" s="132"/>
    </row>
    <row r="56" spans="1:19" ht="6.75" customHeight="1" x14ac:dyDescent="0.2">
      <c r="A56" s="132"/>
      <c r="B56" s="166"/>
      <c r="C56" s="132"/>
      <c r="D56" s="166"/>
      <c r="E56" s="166"/>
      <c r="F56" s="170"/>
      <c r="G56" s="170"/>
      <c r="H56" s="134"/>
      <c r="I56" s="132"/>
      <c r="J56" s="132"/>
      <c r="K56" s="132"/>
      <c r="L56" s="132"/>
      <c r="M56" s="132"/>
      <c r="N56" s="132"/>
      <c r="O56" s="132"/>
      <c r="P56" s="132"/>
      <c r="Q56" s="132"/>
      <c r="R56" s="132"/>
      <c r="S56" s="132"/>
    </row>
    <row r="57" spans="1:19" ht="12.75" customHeight="1" x14ac:dyDescent="0.2">
      <c r="A57" s="132"/>
      <c r="B57" s="196"/>
      <c r="C57" s="132"/>
      <c r="D57" s="166" t="s">
        <v>319</v>
      </c>
      <c r="E57" s="166"/>
      <c r="F57" s="190"/>
      <c r="G57" s="170"/>
      <c r="H57" s="134">
        <f>IF($O$9="",F57,IF($U$9=0,"ERRO",IF($U$9="O ano não está correto para o intervalo","ERRO",IF($O$9=2018,F57,ROUND((F57/$U$9)*3.2939,2)))))</f>
        <v>0</v>
      </c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</row>
    <row r="58" spans="1:19" ht="6.75" customHeight="1" x14ac:dyDescent="0.2">
      <c r="A58" s="132"/>
      <c r="B58" s="197"/>
      <c r="C58" s="132"/>
      <c r="D58" s="166"/>
      <c r="E58" s="166"/>
      <c r="F58" s="198"/>
      <c r="G58" s="170"/>
      <c r="H58" s="134"/>
      <c r="I58" s="132"/>
      <c r="J58" s="132"/>
      <c r="K58" s="132"/>
      <c r="L58" s="132"/>
      <c r="M58" s="132"/>
      <c r="N58" s="132"/>
      <c r="O58" s="132"/>
      <c r="P58" s="132"/>
      <c r="Q58" s="132"/>
      <c r="R58" s="132"/>
      <c r="S58" s="132"/>
    </row>
    <row r="59" spans="1:19" ht="12.75" customHeight="1" x14ac:dyDescent="0.2">
      <c r="A59" s="132"/>
      <c r="B59" s="196"/>
      <c r="C59" s="132"/>
      <c r="D59" s="50" t="s">
        <v>320</v>
      </c>
      <c r="E59" s="166"/>
      <c r="F59" s="190"/>
      <c r="G59" s="170"/>
      <c r="H59" s="134">
        <f>IF($O$9="",F59,IF($U$9=0,"ERRO",IF($U$9="O ano não está correto para o intervalo","ERRO",IF($O$9=2018,F59,ROUND((F59/$U$9)*3.2939,2)))))</f>
        <v>0</v>
      </c>
      <c r="I59" s="132"/>
      <c r="J59" s="132"/>
      <c r="K59" s="132"/>
      <c r="L59" s="132"/>
      <c r="M59" s="132"/>
      <c r="N59" s="132"/>
      <c r="O59" s="132"/>
      <c r="P59" s="132"/>
      <c r="Q59" s="132"/>
      <c r="R59" s="132"/>
      <c r="S59" s="132"/>
    </row>
    <row r="60" spans="1:19" ht="6.75" customHeight="1" x14ac:dyDescent="0.2">
      <c r="A60" s="132"/>
      <c r="B60" s="166"/>
      <c r="C60" s="132"/>
      <c r="D60" s="166"/>
      <c r="E60" s="166"/>
      <c r="F60" s="187"/>
      <c r="G60" s="170"/>
      <c r="H60" s="134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</row>
    <row r="61" spans="1:19" ht="12.75" customHeight="1" x14ac:dyDescent="0.2">
      <c r="A61" s="132"/>
      <c r="B61" s="196"/>
      <c r="C61" s="132"/>
      <c r="D61" s="166" t="s">
        <v>319</v>
      </c>
      <c r="E61" s="166"/>
      <c r="F61" s="190"/>
      <c r="G61" s="170"/>
      <c r="H61" s="134">
        <f>IF($O$9="",F61,IF($U$9=0,"ERRO",IF($U$9="O ano não está correto para o intervalo","ERRO",IF($O$9=2018,F61,ROUND((F61/$U$9)*3.2939,2)))))</f>
        <v>0</v>
      </c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</row>
    <row r="62" spans="1:19" ht="6.75" customHeight="1" x14ac:dyDescent="0.2">
      <c r="A62" s="132"/>
      <c r="B62" s="197"/>
      <c r="C62" s="132"/>
      <c r="D62" s="166"/>
      <c r="E62" s="166"/>
      <c r="F62" s="198"/>
      <c r="G62" s="170"/>
      <c r="H62" s="134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</row>
    <row r="63" spans="1:19" ht="12.75" customHeight="1" x14ac:dyDescent="0.2">
      <c r="A63" s="132"/>
      <c r="B63" s="196"/>
      <c r="C63" s="132"/>
      <c r="D63" s="50" t="s">
        <v>320</v>
      </c>
      <c r="E63" s="166"/>
      <c r="F63" s="190"/>
      <c r="G63" s="170"/>
      <c r="H63" s="134">
        <f>IF($O$9="",F63,IF($U$9=0,"ERRO",IF($U$9="O ano não está correto para o intervalo","ERRO",IF($O$9=2018,F63,ROUND((F63/$U$9)*3.2939,2)))))</f>
        <v>0</v>
      </c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</row>
    <row r="64" spans="1:19" ht="6.75" customHeight="1" x14ac:dyDescent="0.2">
      <c r="A64" s="132"/>
      <c r="B64" s="166"/>
      <c r="C64" s="132"/>
      <c r="D64" s="166"/>
      <c r="E64" s="166"/>
      <c r="F64" s="187"/>
      <c r="G64" s="170"/>
      <c r="H64" s="134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</row>
    <row r="65" spans="1:23" ht="12.75" customHeight="1" x14ac:dyDescent="0.2">
      <c r="A65" s="132"/>
      <c r="B65" s="196"/>
      <c r="C65" s="132"/>
      <c r="D65" s="166" t="s">
        <v>319</v>
      </c>
      <c r="E65" s="166"/>
      <c r="F65" s="190"/>
      <c r="G65" s="170"/>
      <c r="H65" s="134">
        <f>IF($O$9="",F65,IF($U$9=0,"ERRO",IF($U$9="O ano não está correto para o intervalo","ERRO",IF($O$9=2018,F65,ROUND((F65/$U$9)*3.2939,2)))))</f>
        <v>0</v>
      </c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</row>
    <row r="66" spans="1:23" ht="6.75" customHeight="1" x14ac:dyDescent="0.2">
      <c r="A66" s="132"/>
      <c r="B66" s="197"/>
      <c r="C66" s="132"/>
      <c r="D66" s="166"/>
      <c r="E66" s="166"/>
      <c r="F66" s="198"/>
      <c r="G66" s="170"/>
      <c r="H66" s="134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</row>
    <row r="67" spans="1:23" ht="12.75" customHeight="1" x14ac:dyDescent="0.2">
      <c r="A67" s="132"/>
      <c r="B67" s="196"/>
      <c r="C67" s="132"/>
      <c r="D67" s="50" t="s">
        <v>320</v>
      </c>
      <c r="E67" s="166"/>
      <c r="F67" s="190"/>
      <c r="G67" s="170"/>
      <c r="H67" s="134">
        <f>IF($O$9="",F67,IF($U$9=0,"ERRO",IF($U$9="O ano não está correto para o intervalo","ERRO",IF($O$9=2018,F67,ROUND((F67/$U$9)*3.2939,2)))))</f>
        <v>0</v>
      </c>
      <c r="I67" s="132"/>
      <c r="J67" s="132"/>
      <c r="K67" s="132"/>
      <c r="L67" s="132"/>
      <c r="M67" s="132"/>
      <c r="N67" s="132"/>
      <c r="O67" s="132"/>
      <c r="P67" s="132"/>
      <c r="Q67" s="132"/>
      <c r="R67" s="132"/>
      <c r="S67" s="132"/>
    </row>
    <row r="68" spans="1:23" ht="6.75" customHeight="1" x14ac:dyDescent="0.2">
      <c r="A68" s="132"/>
      <c r="B68" s="12"/>
      <c r="C68" s="12"/>
      <c r="D68" s="50"/>
      <c r="E68" s="50"/>
      <c r="F68" s="418"/>
      <c r="G68" s="418"/>
      <c r="H68" s="134"/>
      <c r="I68" s="414"/>
      <c r="J68" s="414"/>
      <c r="K68" s="414"/>
      <c r="L68" s="414"/>
      <c r="M68" s="414"/>
      <c r="N68" s="414"/>
      <c r="O68" s="414"/>
      <c r="P68" s="414"/>
      <c r="Q68" s="414"/>
      <c r="R68" s="414"/>
      <c r="S68" s="132"/>
    </row>
    <row r="69" spans="1:23" x14ac:dyDescent="0.2">
      <c r="A69" s="132"/>
      <c r="B69" s="12" t="s">
        <v>329</v>
      </c>
      <c r="C69" s="12"/>
      <c r="D69" s="50" t="s">
        <v>218</v>
      </c>
      <c r="E69" s="50"/>
      <c r="F69" s="190"/>
      <c r="G69" s="418"/>
      <c r="H69" s="134">
        <f>IF($O$9="",F69,IF($U$9=0,"ERRO",IF($U$9="O ano não está correto para o intervalo","ERRO",IF($O$9=2018,F69,ROUND((F69/$U$9)*3.2939,2)))))</f>
        <v>0</v>
      </c>
      <c r="I69" s="414"/>
      <c r="J69" s="414"/>
      <c r="K69" s="414"/>
      <c r="L69" s="414"/>
      <c r="M69" s="414"/>
      <c r="N69" s="414"/>
      <c r="O69" s="414"/>
      <c r="P69" s="414"/>
      <c r="Q69" s="414"/>
      <c r="R69" s="414"/>
      <c r="S69" s="132"/>
    </row>
    <row r="70" spans="1:23" ht="6.75" customHeight="1" x14ac:dyDescent="0.2">
      <c r="A70" s="132"/>
      <c r="B70" s="12"/>
      <c r="C70" s="12"/>
      <c r="D70" s="50"/>
      <c r="E70" s="50"/>
      <c r="F70" s="418"/>
      <c r="G70" s="418"/>
      <c r="H70" s="134"/>
      <c r="I70" s="414"/>
      <c r="J70" s="414"/>
      <c r="K70" s="414"/>
      <c r="L70" s="414"/>
      <c r="M70" s="414"/>
      <c r="N70" s="414"/>
      <c r="O70" s="414"/>
      <c r="P70" s="414"/>
      <c r="Q70" s="414"/>
      <c r="R70" s="414"/>
      <c r="S70" s="132"/>
    </row>
    <row r="71" spans="1:23" x14ac:dyDescent="0.2">
      <c r="A71" s="132"/>
      <c r="B71" s="12" t="s">
        <v>330</v>
      </c>
      <c r="C71" s="12"/>
      <c r="D71" s="50" t="s">
        <v>224</v>
      </c>
      <c r="E71" s="50"/>
      <c r="F71" s="190"/>
      <c r="G71" s="418"/>
      <c r="H71" s="134">
        <f>IF($O$9="",F71,IF($U$9=0,"ERRO",IF($U$9="O ano não está correto para o intervalo","ERRO",IF($O$9=2018,F71,ROUND((F71/$U$9)*3.2939,2)))))</f>
        <v>0</v>
      </c>
      <c r="I71" s="414"/>
      <c r="J71" s="414"/>
      <c r="K71" s="414"/>
      <c r="L71" s="414"/>
      <c r="M71" s="414"/>
      <c r="N71" s="414"/>
      <c r="O71" s="414"/>
      <c r="P71" s="414"/>
      <c r="Q71" s="414"/>
      <c r="R71" s="414"/>
      <c r="S71" s="132"/>
    </row>
    <row r="72" spans="1:23" ht="6" customHeight="1" x14ac:dyDescent="0.2">
      <c r="A72" s="132"/>
      <c r="B72" s="12"/>
      <c r="C72" s="12"/>
      <c r="D72" s="50"/>
      <c r="E72" s="50"/>
      <c r="F72" s="330"/>
      <c r="G72" s="418"/>
      <c r="H72" s="134"/>
      <c r="I72" s="414"/>
      <c r="J72" s="414"/>
      <c r="K72" s="414"/>
      <c r="L72" s="414"/>
      <c r="M72" s="414"/>
      <c r="N72" s="414"/>
      <c r="O72" s="414"/>
      <c r="P72" s="414"/>
      <c r="Q72" s="414"/>
      <c r="R72" s="414"/>
      <c r="S72" s="132"/>
    </row>
    <row r="73" spans="1:23" ht="12.75" customHeight="1" x14ac:dyDescent="0.2">
      <c r="A73" s="132"/>
      <c r="B73" s="12" t="s">
        <v>331</v>
      </c>
      <c r="C73" s="12"/>
      <c r="D73" s="50" t="s">
        <v>332</v>
      </c>
      <c r="E73" s="50"/>
      <c r="F73" s="190"/>
      <c r="G73" s="418"/>
      <c r="H73" s="134">
        <f>IF($O$9="",F73,IF($U$9=0,"ERRO",IF($U$9="O ano não está correto para o intervalo","ERRO",IF($O$9=2018,F73,ROUND((F73/$U$9)*3.2939,2)))))</f>
        <v>0</v>
      </c>
      <c r="I73" s="132"/>
      <c r="J73" s="132"/>
      <c r="K73" s="132"/>
      <c r="L73" s="132"/>
      <c r="M73" s="132"/>
      <c r="N73" s="132"/>
      <c r="O73" s="132"/>
      <c r="P73" s="132"/>
      <c r="Q73" s="132"/>
      <c r="R73" s="132"/>
      <c r="S73" s="132"/>
    </row>
    <row r="74" spans="1:23" ht="6.75" customHeight="1" x14ac:dyDescent="0.2">
      <c r="A74" s="132"/>
      <c r="B74" s="12"/>
      <c r="C74" s="12"/>
      <c r="D74" s="50"/>
      <c r="E74" s="50"/>
      <c r="F74" s="330"/>
      <c r="G74" s="418"/>
      <c r="H74" s="134"/>
      <c r="I74" s="132"/>
      <c r="J74" s="132"/>
      <c r="K74" s="132"/>
      <c r="L74" s="132"/>
      <c r="M74" s="132"/>
      <c r="N74" s="132"/>
      <c r="O74" s="132"/>
      <c r="P74" s="132"/>
      <c r="Q74" s="132"/>
      <c r="R74" s="132"/>
      <c r="S74" s="132"/>
    </row>
    <row r="75" spans="1:23" ht="12.75" customHeight="1" x14ac:dyDescent="0.2">
      <c r="A75" s="132"/>
      <c r="B75" s="12" t="s">
        <v>333</v>
      </c>
      <c r="C75" s="12"/>
      <c r="D75" s="50" t="s">
        <v>334</v>
      </c>
      <c r="E75" s="50"/>
      <c r="F75" s="190"/>
      <c r="G75" s="418"/>
      <c r="H75" s="134">
        <f>IF($O$9="",F75,IF($U$9=0,"ERRO",IF($U$9="O ano não está correto para o intervalo","ERRO",IF($O$9=2018,F75,ROUND((F75/$U$9)*3.2939,2)))))</f>
        <v>0</v>
      </c>
      <c r="I75" s="132"/>
      <c r="J75" s="132"/>
      <c r="K75" s="132"/>
      <c r="L75" s="132"/>
      <c r="M75" s="132"/>
      <c r="N75" s="132"/>
      <c r="O75" s="132"/>
      <c r="P75" s="132"/>
      <c r="Q75" s="132"/>
      <c r="R75" s="132"/>
      <c r="S75" s="132"/>
    </row>
    <row r="76" spans="1:23" ht="12.75" customHeight="1" x14ac:dyDescent="0.2">
      <c r="A76" s="132"/>
      <c r="B76" s="12"/>
      <c r="C76" s="132"/>
      <c r="D76" s="166"/>
      <c r="E76" s="166"/>
      <c r="F76" s="187"/>
      <c r="G76" s="170"/>
      <c r="H76" s="134"/>
      <c r="I76" s="132"/>
      <c r="J76" s="132"/>
      <c r="K76" s="132"/>
      <c r="L76" s="132"/>
      <c r="M76" s="132"/>
      <c r="N76" s="132"/>
      <c r="O76" s="132"/>
      <c r="P76" s="132"/>
      <c r="Q76" s="132"/>
      <c r="R76" s="132"/>
      <c r="S76" s="132"/>
    </row>
    <row r="77" spans="1:23" x14ac:dyDescent="0.2">
      <c r="A77" s="132"/>
      <c r="B77" s="132"/>
      <c r="C77" s="132"/>
      <c r="D77" s="171" t="s">
        <v>335</v>
      </c>
      <c r="E77" s="171"/>
      <c r="F77" s="187">
        <f>SUM(F20:F75)</f>
        <v>0</v>
      </c>
      <c r="G77" s="170"/>
      <c r="H77" s="134"/>
      <c r="I77" s="132"/>
      <c r="J77" s="132"/>
      <c r="K77" s="132"/>
      <c r="L77" s="132"/>
      <c r="M77" s="132"/>
      <c r="N77" s="132"/>
      <c r="O77" s="132"/>
      <c r="P77" s="132"/>
      <c r="Q77" s="132"/>
      <c r="R77" s="132"/>
      <c r="S77" s="132"/>
      <c r="U77" s="175"/>
      <c r="V77" s="177"/>
      <c r="W77" s="178"/>
    </row>
    <row r="78" spans="1:23" x14ac:dyDescent="0.2">
      <c r="A78" s="132"/>
      <c r="B78" s="132"/>
      <c r="C78" s="132"/>
      <c r="D78" s="171"/>
      <c r="E78" s="171"/>
      <c r="F78" s="187"/>
      <c r="G78" s="170"/>
      <c r="H78" s="134"/>
      <c r="I78" s="132"/>
      <c r="J78" s="132"/>
      <c r="K78" s="132"/>
      <c r="L78" s="132"/>
      <c r="M78" s="132"/>
      <c r="N78" s="132"/>
      <c r="O78" s="132"/>
      <c r="P78" s="132"/>
      <c r="Q78" s="132"/>
      <c r="R78" s="132"/>
      <c r="S78" s="132"/>
      <c r="V78" s="175"/>
    </row>
    <row r="79" spans="1:23" x14ac:dyDescent="0.2">
      <c r="A79" s="132"/>
      <c r="B79" s="132"/>
      <c r="C79" s="132"/>
      <c r="D79" s="171"/>
      <c r="E79" s="171"/>
      <c r="F79" s="171" t="s">
        <v>290</v>
      </c>
      <c r="G79" s="550"/>
      <c r="H79" s="550"/>
      <c r="I79" s="550"/>
      <c r="J79" s="180" t="s">
        <v>291</v>
      </c>
      <c r="K79" s="110"/>
      <c r="L79" s="181" t="s">
        <v>292</v>
      </c>
      <c r="M79" s="182"/>
      <c r="N79" s="181" t="s">
        <v>292</v>
      </c>
      <c r="O79" s="182"/>
      <c r="P79" s="183"/>
      <c r="Q79" s="171" t="s">
        <v>293</v>
      </c>
      <c r="R79" s="184"/>
      <c r="S79" s="132"/>
      <c r="U79" s="99">
        <f>IF(O79=0,0,IF(O79=1999,0.977,IF(O79=2000,1.0641,IF(O79=2001,1.1283,IF(O79=2002,1.213,IF(O79=2003,1.3584,IF(O79=2004,1.4924,IF(O79=2005,1.6049,V79))))))))</f>
        <v>0</v>
      </c>
      <c r="V79" s="5" t="str">
        <f>IF(O79=2006,1.6992,IF(O79=2007,1.7495,IF(O79=2008,1.8258,IF(O79=2009,1.9372,IF(O79=2010,2.0183,IF(O79=2011,2.1352,IF(O79=2012,2.2752,IF(O79=2013,2.4066,W79))))))))</f>
        <v>O ano não está correto para o intervalo</v>
      </c>
      <c r="W79" s="178" t="str">
        <f>IF(O79=2014,2.5473,IF(O79=2015,2.7119,IF(O79=2016,3.0023,IF(O79=2017,3.1999,IF(79=2018,1,"O ano não está correto para o intervalo")))))</f>
        <v>O ano não está correto para o intervalo</v>
      </c>
    </row>
    <row r="80" spans="1:23" ht="6.75" customHeight="1" x14ac:dyDescent="0.2">
      <c r="A80" s="132"/>
      <c r="B80" s="132"/>
      <c r="C80" s="132"/>
      <c r="D80" s="171"/>
      <c r="E80" s="171"/>
      <c r="F80" s="132"/>
      <c r="G80" s="132"/>
      <c r="H80" s="171"/>
      <c r="I80" s="416"/>
      <c r="J80" s="416"/>
      <c r="K80" s="416"/>
      <c r="L80" s="416"/>
      <c r="M80" s="416"/>
      <c r="N80" s="416"/>
      <c r="O80" s="416"/>
      <c r="P80" s="416"/>
      <c r="Q80" s="132"/>
      <c r="R80" s="132"/>
      <c r="S80" s="132"/>
      <c r="V80" s="175" t="s">
        <v>294</v>
      </c>
      <c r="W80" s="175" t="s">
        <v>295</v>
      </c>
    </row>
    <row r="81" spans="1:23" x14ac:dyDescent="0.2">
      <c r="A81" s="132"/>
      <c r="B81" s="132"/>
      <c r="C81" s="132"/>
      <c r="D81" s="171"/>
      <c r="E81" s="171"/>
      <c r="F81" s="551" t="s">
        <v>336</v>
      </c>
      <c r="G81" s="551"/>
      <c r="H81" s="551"/>
      <c r="I81" s="551"/>
      <c r="J81" s="551"/>
      <c r="K81" s="20"/>
      <c r="L81" s="416"/>
      <c r="M81" s="512" t="str">
        <f>IF(T81&gt;1,"Escolher uma opção","")</f>
        <v/>
      </c>
      <c r="N81" s="512"/>
      <c r="O81" s="512"/>
      <c r="P81" s="512"/>
      <c r="Q81" s="512"/>
      <c r="R81" s="512"/>
      <c r="S81" s="132"/>
      <c r="T81" s="138">
        <f>COUNTA(K81,K83,K84)</f>
        <v>0</v>
      </c>
      <c r="U81" s="175">
        <f>H86*0.05</f>
        <v>0</v>
      </c>
      <c r="V81" s="175">
        <f>IF($T$81&gt;1,0,IF(K81="",0,$U$81))</f>
        <v>0</v>
      </c>
      <c r="W81" s="175">
        <f>V81</f>
        <v>0</v>
      </c>
    </row>
    <row r="82" spans="1:23" ht="6.75" customHeight="1" x14ac:dyDescent="0.2">
      <c r="A82" s="132"/>
      <c r="B82" s="132"/>
      <c r="C82" s="132"/>
      <c r="D82" s="171"/>
      <c r="E82" s="171"/>
      <c r="F82" s="187"/>
      <c r="G82" s="187"/>
      <c r="H82" s="187"/>
      <c r="I82" s="187"/>
      <c r="J82" s="187"/>
      <c r="K82" s="7"/>
      <c r="L82" s="416"/>
      <c r="M82" s="414"/>
      <c r="N82" s="414"/>
      <c r="O82" s="414"/>
      <c r="P82" s="414"/>
      <c r="Q82" s="414"/>
      <c r="R82" s="414"/>
      <c r="S82" s="132"/>
      <c r="T82" s="138"/>
      <c r="U82" s="175"/>
      <c r="V82" s="175"/>
      <c r="W82" s="175"/>
    </row>
    <row r="83" spans="1:23" x14ac:dyDescent="0.2">
      <c r="A83" s="132"/>
      <c r="B83" s="132"/>
      <c r="C83" s="132"/>
      <c r="D83" s="171"/>
      <c r="E83" s="171"/>
      <c r="F83" s="551" t="s">
        <v>298</v>
      </c>
      <c r="G83" s="551"/>
      <c r="H83" s="551"/>
      <c r="I83" s="551"/>
      <c r="J83" s="551"/>
      <c r="K83" s="20"/>
      <c r="L83" s="416"/>
      <c r="M83" s="414"/>
      <c r="N83" s="414"/>
      <c r="O83" s="414"/>
      <c r="P83" s="414"/>
      <c r="Q83" s="414"/>
      <c r="R83" s="414"/>
      <c r="S83" s="132"/>
      <c r="T83" s="138"/>
      <c r="U83" s="175"/>
      <c r="V83" s="175"/>
      <c r="W83" s="175">
        <f>IF($T$81&gt;1,0,IF(K83="",0,$U$81))</f>
        <v>0</v>
      </c>
    </row>
    <row r="84" spans="1:23" ht="6.75" customHeight="1" x14ac:dyDescent="0.2">
      <c r="A84" s="132"/>
      <c r="B84" s="132"/>
      <c r="C84" s="132"/>
      <c r="D84" s="171"/>
      <c r="E84" s="171"/>
      <c r="F84" s="551"/>
      <c r="G84" s="551"/>
      <c r="H84" s="551"/>
      <c r="I84" s="551"/>
      <c r="J84" s="551"/>
      <c r="K84" s="7"/>
      <c r="L84" s="416"/>
      <c r="M84" s="416"/>
      <c r="N84" s="416"/>
      <c r="O84" s="416"/>
      <c r="P84" s="416"/>
      <c r="Q84" s="132"/>
      <c r="R84" s="132"/>
      <c r="S84" s="132"/>
      <c r="U84" s="189" t="s">
        <v>303</v>
      </c>
      <c r="V84" s="189">
        <f>SUM(V81:V83)</f>
        <v>0</v>
      </c>
      <c r="W84" s="189">
        <f>SUM(W81:W83)</f>
        <v>0</v>
      </c>
    </row>
    <row r="85" spans="1:23" ht="38.25" x14ac:dyDescent="0.2">
      <c r="A85" s="132"/>
      <c r="B85" s="188" t="s">
        <v>299</v>
      </c>
      <c r="C85" s="188"/>
      <c r="D85" s="188" t="s">
        <v>300</v>
      </c>
      <c r="E85" s="188"/>
      <c r="F85" s="188" t="s">
        <v>301</v>
      </c>
      <c r="G85" s="188"/>
      <c r="H85" s="188" t="s">
        <v>302</v>
      </c>
      <c r="I85" s="132"/>
      <c r="J85" s="132"/>
      <c r="K85" s="132"/>
      <c r="L85" s="132"/>
      <c r="M85" s="132"/>
      <c r="N85" s="132"/>
      <c r="O85" s="132"/>
      <c r="P85" s="132"/>
      <c r="Q85" s="132"/>
      <c r="R85" s="132"/>
      <c r="S85" s="132"/>
      <c r="U85" s="175"/>
      <c r="V85" s="175"/>
      <c r="W85" s="178"/>
    </row>
    <row r="86" spans="1:23" x14ac:dyDescent="0.2">
      <c r="A86" s="132"/>
      <c r="B86" s="12" t="s">
        <v>337</v>
      </c>
      <c r="C86" s="12"/>
      <c r="D86" s="50" t="s">
        <v>338</v>
      </c>
      <c r="E86" s="132"/>
      <c r="F86" s="190"/>
      <c r="G86" s="132"/>
      <c r="H86" s="134">
        <f>IF($O$79="",F86,IF($U$79=0,"ERRO",IF($U$79="O ano não está correto para o intervalo","ERRO",IF($O$79=2018,F86,ROUND((F86/$U$79)*3.2939,2)))))</f>
        <v>0</v>
      </c>
      <c r="I86" s="132"/>
      <c r="J86" s="132"/>
      <c r="K86" s="132"/>
      <c r="L86" s="132"/>
      <c r="M86" s="132"/>
      <c r="N86" s="132"/>
      <c r="O86" s="132"/>
      <c r="P86" s="132"/>
      <c r="Q86" s="132"/>
      <c r="R86" s="132"/>
      <c r="S86" s="132"/>
    </row>
    <row r="87" spans="1:23" ht="6.75" customHeight="1" x14ac:dyDescent="0.2">
      <c r="A87" s="132"/>
      <c r="B87" s="132"/>
      <c r="C87" s="132"/>
      <c r="D87" s="132"/>
      <c r="E87" s="132"/>
      <c r="F87" s="166"/>
      <c r="G87" s="132"/>
      <c r="H87" s="134"/>
      <c r="I87" s="132"/>
      <c r="J87" s="132"/>
      <c r="K87" s="132"/>
      <c r="L87" s="132"/>
      <c r="M87" s="132"/>
      <c r="N87" s="132"/>
      <c r="O87" s="132"/>
      <c r="P87" s="132"/>
      <c r="Q87" s="132"/>
      <c r="R87" s="132"/>
      <c r="S87" s="132"/>
    </row>
    <row r="88" spans="1:23" ht="12.75" customHeight="1" x14ac:dyDescent="0.2">
      <c r="A88" s="132"/>
      <c r="B88" s="166" t="s">
        <v>307</v>
      </c>
      <c r="C88" s="132"/>
      <c r="D88" s="166" t="s">
        <v>339</v>
      </c>
      <c r="E88" s="132"/>
      <c r="F88" s="190"/>
      <c r="G88" s="132"/>
      <c r="H88" s="134">
        <f>IF($O$79="",F88,IF($U$79=0,"ERRO",IF($U$79="O ano não está correto para o intervalo","ERRO",IF($O$79=2018,F88,ROUND((F88/$U$79)*3.2939,2)))))</f>
        <v>0</v>
      </c>
      <c r="I88" s="132"/>
      <c r="J88" s="132"/>
      <c r="K88" s="132"/>
      <c r="L88" s="132"/>
      <c r="M88" s="132"/>
      <c r="N88" s="132"/>
      <c r="O88" s="132"/>
      <c r="P88" s="132"/>
      <c r="Q88" s="132"/>
      <c r="R88" s="132"/>
      <c r="S88" s="132"/>
    </row>
    <row r="89" spans="1:23" ht="6.75" customHeight="1" x14ac:dyDescent="0.2">
      <c r="A89" s="132"/>
      <c r="B89" s="132"/>
      <c r="C89" s="132"/>
      <c r="D89" s="132"/>
      <c r="E89" s="132"/>
      <c r="F89" s="166"/>
      <c r="G89" s="132"/>
      <c r="H89" s="134"/>
      <c r="I89" s="132"/>
      <c r="J89" s="132"/>
      <c r="K89" s="132"/>
      <c r="L89" s="132"/>
      <c r="M89" s="132"/>
      <c r="N89" s="132"/>
      <c r="O89" s="132"/>
      <c r="P89" s="132"/>
      <c r="Q89" s="132"/>
      <c r="R89" s="132"/>
      <c r="S89" s="132"/>
    </row>
    <row r="90" spans="1:23" x14ac:dyDescent="0.2">
      <c r="A90" s="132"/>
      <c r="B90" s="12" t="s">
        <v>317</v>
      </c>
      <c r="C90" s="132"/>
      <c r="D90" s="50" t="s">
        <v>318</v>
      </c>
      <c r="E90" s="132"/>
      <c r="F90" s="190"/>
      <c r="G90" s="132"/>
      <c r="H90" s="134">
        <f>IF($O$79="",F90,IF($U$79=0,"ERRO",IF($U$79="O ano não está correto para o intervalo","ERRO",IF($O$79=2018,F90,ROUND((F90/$U$79)*3.2939,2)))))</f>
        <v>0</v>
      </c>
      <c r="I90" s="132"/>
      <c r="J90" s="132"/>
      <c r="K90" s="132"/>
      <c r="L90" s="132"/>
      <c r="M90" s="132"/>
      <c r="N90" s="132"/>
      <c r="O90" s="132"/>
      <c r="P90" s="132"/>
      <c r="Q90" s="132"/>
      <c r="R90" s="132"/>
      <c r="S90" s="132"/>
    </row>
    <row r="91" spans="1:23" ht="6.75" customHeight="1" x14ac:dyDescent="0.2">
      <c r="A91" s="132"/>
      <c r="B91" s="132"/>
      <c r="C91" s="132"/>
      <c r="D91" s="132"/>
      <c r="E91" s="132"/>
      <c r="F91" s="187"/>
      <c r="G91" s="132"/>
      <c r="H91" s="134"/>
      <c r="I91" s="132"/>
      <c r="J91" s="132"/>
      <c r="K91" s="132"/>
      <c r="L91" s="132"/>
      <c r="M91" s="132"/>
      <c r="N91" s="132"/>
      <c r="O91" s="132"/>
      <c r="P91" s="132"/>
      <c r="Q91" s="132"/>
      <c r="R91" s="132"/>
      <c r="S91" s="132"/>
    </row>
    <row r="92" spans="1:23" x14ac:dyDescent="0.2">
      <c r="A92" s="132"/>
      <c r="B92" s="12" t="s">
        <v>325</v>
      </c>
      <c r="C92" s="132"/>
      <c r="D92" s="50" t="s">
        <v>326</v>
      </c>
      <c r="E92" s="132"/>
      <c r="F92" s="190"/>
      <c r="G92" s="132"/>
      <c r="H92" s="134">
        <f>IF($O$79="",F92,IF($U$79=0,"ERRO",IF($U$79="O ano não está correto para o intervalo","ERRO",IF($O$79=2018,F92,ROUND((F92/$U$79)*3.2939,2)))))</f>
        <v>0</v>
      </c>
      <c r="I92" s="132"/>
      <c r="J92" s="132"/>
      <c r="K92" s="132"/>
      <c r="L92" s="132"/>
      <c r="M92" s="132"/>
      <c r="N92" s="132"/>
      <c r="O92" s="132"/>
      <c r="P92" s="132"/>
      <c r="Q92" s="132"/>
      <c r="R92" s="132"/>
      <c r="S92" s="132"/>
    </row>
    <row r="93" spans="1:23" ht="6.75" customHeight="1" x14ac:dyDescent="0.2">
      <c r="A93" s="132"/>
      <c r="B93" s="12"/>
      <c r="C93" s="50"/>
      <c r="D93" s="132"/>
      <c r="E93" s="132"/>
      <c r="F93" s="187"/>
      <c r="G93" s="132"/>
      <c r="H93" s="134"/>
      <c r="I93" s="132"/>
      <c r="J93" s="132"/>
      <c r="K93" s="132"/>
      <c r="L93" s="132"/>
      <c r="M93" s="132"/>
      <c r="N93" s="132"/>
      <c r="O93" s="132"/>
      <c r="P93" s="132"/>
      <c r="Q93" s="132"/>
      <c r="R93" s="132"/>
      <c r="S93" s="132"/>
    </row>
    <row r="94" spans="1:23" x14ac:dyDescent="0.2">
      <c r="A94" s="132"/>
      <c r="B94" s="12" t="s">
        <v>327</v>
      </c>
      <c r="C94" s="132"/>
      <c r="D94" s="50" t="s">
        <v>328</v>
      </c>
      <c r="E94" s="132"/>
      <c r="F94" s="190"/>
      <c r="G94" s="132"/>
      <c r="H94" s="134">
        <f>IF($O$79="",F94,IF($U$79=0,"ERRO",IF($U$79="O ano não está correto para o intervalo","ERRO",IF($O$79=2018,F94,ROUND((F94/$U$79)*3.2939,2)))))</f>
        <v>0</v>
      </c>
      <c r="I94" s="132"/>
      <c r="J94" s="132"/>
      <c r="K94" s="132"/>
      <c r="L94" s="132"/>
      <c r="M94" s="132"/>
      <c r="N94" s="132"/>
      <c r="O94" s="132"/>
      <c r="P94" s="132"/>
      <c r="Q94" s="132"/>
      <c r="R94" s="132"/>
      <c r="S94" s="132"/>
    </row>
    <row r="95" spans="1:23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</row>
    <row r="96" spans="1:23" x14ac:dyDescent="0.2">
      <c r="A96" s="548"/>
      <c r="B96" s="548"/>
      <c r="C96" s="548"/>
      <c r="D96" s="548"/>
      <c r="E96" s="548"/>
      <c r="F96" s="548"/>
      <c r="G96" s="548"/>
      <c r="H96" s="548"/>
      <c r="I96" s="548"/>
      <c r="J96" s="548"/>
      <c r="K96" s="548"/>
      <c r="L96" s="548"/>
      <c r="M96" s="548"/>
      <c r="N96" s="548"/>
      <c r="O96" s="548"/>
      <c r="P96" s="548"/>
      <c r="Q96" s="548"/>
      <c r="R96" s="548"/>
      <c r="S96" s="548"/>
    </row>
  </sheetData>
  <mergeCells count="22">
    <mergeCell ref="I39:R39"/>
    <mergeCell ref="I40:R40"/>
    <mergeCell ref="I41:R41"/>
    <mergeCell ref="G79:I79"/>
    <mergeCell ref="F81:J81"/>
    <mergeCell ref="M81:R81"/>
    <mergeCell ref="A96:S96"/>
    <mergeCell ref="I38:R38"/>
    <mergeCell ref="B3:R3"/>
    <mergeCell ref="B4:R4"/>
    <mergeCell ref="G7:I7"/>
    <mergeCell ref="G9:I9"/>
    <mergeCell ref="J11:R11"/>
    <mergeCell ref="F13:J13"/>
    <mergeCell ref="M13:R13"/>
    <mergeCell ref="F15:J15"/>
    <mergeCell ref="F17:J17"/>
    <mergeCell ref="I35:R35"/>
    <mergeCell ref="I36:R36"/>
    <mergeCell ref="I37:R37"/>
    <mergeCell ref="F83:J83"/>
    <mergeCell ref="F84:J84"/>
  </mergeCells>
  <conditionalFormatting sqref="H20:H78 H86:H94">
    <cfRule type="cellIs" dxfId="57" priority="7" stopIfTrue="1" operator="equal">
      <formula>"ERRO"</formula>
    </cfRule>
    <cfRule type="cellIs" dxfId="56" priority="8" stopIfTrue="1" operator="equal">
      <formula>0</formula>
    </cfRule>
  </conditionalFormatting>
  <conditionalFormatting sqref="W79 W85 J19 W9:W11">
    <cfRule type="cellIs" dxfId="55" priority="9" stopIfTrue="1" operator="equal">
      <formula>0</formula>
    </cfRule>
    <cfRule type="cellIs" dxfId="54" priority="10" stopIfTrue="1" operator="equal">
      <formula>"O ano não está correto para o intervalo"</formula>
    </cfRule>
  </conditionalFormatting>
  <conditionalFormatting sqref="F77:G78">
    <cfRule type="cellIs" dxfId="53" priority="11" stopIfTrue="1" operator="equal">
      <formula>0</formula>
    </cfRule>
  </conditionalFormatting>
  <printOptions horizontalCentered="1"/>
  <pageMargins left="0.35433070866141736" right="0.35433070866141736" top="0.98425196850393704" bottom="0.39370078740157483" header="0.51181102362204722" footer="0.51181102362204722"/>
  <pageSetup paperSize="9" scale="83" firstPageNumber="0" orientation="landscape" horizontalDpi="300" verticalDpi="300" r:id="rId1"/>
  <headerFooter alignWithMargins="0">
    <oddHeader>&amp;L&amp;G&amp;CTRIBUNAL DE JUSTIÇA DO ESTADO DO RIO DE JANEIRO
CENTRAL DE ARQUIVAMENTO NUR1</oddHeader>
    <oddFooter>&amp;LFRM-CARQ-002-01&amp;CREV.: 00               Data: 20/04/2018&amp;R&amp;P</oddFooter>
  </headerFooter>
  <rowBreaks count="2" manualBreakCount="2">
    <brk id="52" max="18" man="1"/>
    <brk id="97" max="16383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7"/>
  <sheetViews>
    <sheetView showGridLines="0" view="pageBreakPreview" topLeftCell="A73" zoomScale="111" zoomScaleNormal="100" zoomScaleSheetLayoutView="111" workbookViewId="0">
      <selection activeCell="F100" sqref="F100"/>
    </sheetView>
  </sheetViews>
  <sheetFormatPr defaultRowHeight="12.75" x14ac:dyDescent="0.2"/>
  <cols>
    <col min="1" max="1" width="3.85546875" style="139" customWidth="1"/>
    <col min="2" max="2" width="12.7109375" style="139" customWidth="1"/>
    <col min="3" max="3" width="1.28515625" style="139" customWidth="1"/>
    <col min="4" max="4" width="32.140625" style="139" customWidth="1"/>
    <col min="5" max="5" width="1.28515625" style="139" customWidth="1"/>
    <col min="6" max="6" width="14.140625" style="139" customWidth="1"/>
    <col min="7" max="7" width="1.28515625" style="139" customWidth="1"/>
    <col min="8" max="8" width="12.5703125" style="139" customWidth="1"/>
    <col min="9" max="9" width="10.7109375" style="139" customWidth="1"/>
    <col min="10" max="10" width="19.42578125" style="139" customWidth="1"/>
    <col min="11" max="11" width="3.7109375" style="139" customWidth="1"/>
    <col min="12" max="12" width="1.85546875" style="139" customWidth="1"/>
    <col min="13" max="13" width="3.85546875" style="139" customWidth="1"/>
    <col min="14" max="14" width="1.7109375" style="139" customWidth="1"/>
    <col min="15" max="15" width="5.7109375" style="139" customWidth="1"/>
    <col min="16" max="16" width="1.140625" style="139" customWidth="1"/>
    <col min="17" max="18" width="9.140625" style="139"/>
    <col min="19" max="19" width="3.85546875" style="139" customWidth="1"/>
    <col min="20" max="20" width="9.140625" style="173" hidden="1" customWidth="1"/>
    <col min="21" max="23" width="9.140625" style="138" hidden="1" customWidth="1"/>
    <col min="24" max="24" width="9.140625" style="139" hidden="1" customWidth="1"/>
    <col min="25" max="27" width="9.140625" style="139" customWidth="1"/>
    <col min="28" max="16384" width="9.140625" style="139"/>
  </cols>
  <sheetData>
    <row r="1" spans="1:23" x14ac:dyDescent="0.2">
      <c r="A1" s="132"/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74"/>
      <c r="U1" s="175"/>
      <c r="V1" s="175"/>
      <c r="W1" s="175"/>
    </row>
    <row r="2" spans="1:23" ht="3" customHeight="1" x14ac:dyDescent="0.2">
      <c r="A2" s="132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32"/>
    </row>
    <row r="3" spans="1:23" ht="22.5" x14ac:dyDescent="0.45">
      <c r="A3" s="132"/>
      <c r="B3" s="535" t="s">
        <v>289</v>
      </c>
      <c r="C3" s="535"/>
      <c r="D3" s="535"/>
      <c r="E3" s="535"/>
      <c r="F3" s="535"/>
      <c r="G3" s="535"/>
      <c r="H3" s="535"/>
      <c r="I3" s="535"/>
      <c r="J3" s="535"/>
      <c r="K3" s="535"/>
      <c r="L3" s="535"/>
      <c r="M3" s="535"/>
      <c r="N3" s="535"/>
      <c r="O3" s="535"/>
      <c r="P3" s="535"/>
      <c r="Q3" s="535"/>
      <c r="R3" s="535"/>
      <c r="S3" s="132"/>
      <c r="U3" s="175"/>
    </row>
    <row r="4" spans="1:23" ht="15.75" x14ac:dyDescent="0.25">
      <c r="A4" s="132"/>
      <c r="B4" s="543" t="s">
        <v>373</v>
      </c>
      <c r="C4" s="543"/>
      <c r="D4" s="543"/>
      <c r="E4" s="543"/>
      <c r="F4" s="543"/>
      <c r="G4" s="543"/>
      <c r="H4" s="543"/>
      <c r="I4" s="543"/>
      <c r="J4" s="543"/>
      <c r="K4" s="543"/>
      <c r="L4" s="543"/>
      <c r="M4" s="543"/>
      <c r="N4" s="543"/>
      <c r="O4" s="543"/>
      <c r="P4" s="543"/>
      <c r="Q4" s="543"/>
      <c r="R4" s="543"/>
      <c r="S4" s="132"/>
    </row>
    <row r="5" spans="1:23" ht="3" customHeight="1" x14ac:dyDescent="0.2">
      <c r="A5" s="132"/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32"/>
    </row>
    <row r="6" spans="1:23" x14ac:dyDescent="0.2">
      <c r="A6" s="132"/>
      <c r="B6" s="132"/>
      <c r="C6" s="132"/>
      <c r="D6" s="132"/>
      <c r="E6" s="132"/>
      <c r="F6" s="157"/>
      <c r="G6" s="157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</row>
    <row r="7" spans="1:23" x14ac:dyDescent="0.2">
      <c r="A7" s="132"/>
      <c r="B7" s="132"/>
      <c r="C7" s="132"/>
      <c r="D7" s="132"/>
      <c r="E7" s="132"/>
      <c r="F7" s="171" t="s">
        <v>4</v>
      </c>
      <c r="G7" s="549" t="str">
        <f>IF('Atos Serv. Jud. Lei. 6369'!H7="","",'Atos Serv. Jud. Lei. 6369'!H7)</f>
        <v/>
      </c>
      <c r="H7" s="549"/>
      <c r="I7" s="549"/>
      <c r="J7" s="176"/>
      <c r="K7" s="176"/>
      <c r="L7" s="176"/>
      <c r="M7" s="176"/>
      <c r="N7" s="176"/>
      <c r="O7" s="176"/>
      <c r="P7" s="176"/>
      <c r="Q7" s="132"/>
      <c r="R7" s="132"/>
      <c r="S7" s="132"/>
      <c r="U7" s="175"/>
      <c r="V7" s="177"/>
      <c r="W7" s="178"/>
    </row>
    <row r="8" spans="1:23" ht="6.75" customHeight="1" x14ac:dyDescent="0.2">
      <c r="A8" s="132"/>
      <c r="B8" s="132"/>
      <c r="C8" s="132"/>
      <c r="D8" s="132"/>
      <c r="E8" s="132"/>
      <c r="F8" s="179"/>
      <c r="G8" s="157"/>
      <c r="H8" s="132"/>
      <c r="I8" s="157"/>
      <c r="J8" s="157"/>
      <c r="K8" s="157"/>
      <c r="L8" s="157"/>
      <c r="M8" s="157"/>
      <c r="N8" s="157"/>
      <c r="O8" s="157"/>
      <c r="P8" s="157"/>
      <c r="Q8" s="132"/>
      <c r="R8" s="132"/>
      <c r="S8" s="132"/>
      <c r="V8" s="175"/>
    </row>
    <row r="9" spans="1:23" x14ac:dyDescent="0.2">
      <c r="A9" s="132"/>
      <c r="B9" s="132"/>
      <c r="C9" s="132"/>
      <c r="D9" s="132"/>
      <c r="E9" s="132"/>
      <c r="F9" s="171" t="s">
        <v>290</v>
      </c>
      <c r="G9" s="550"/>
      <c r="H9" s="550"/>
      <c r="I9" s="550"/>
      <c r="J9" s="180" t="s">
        <v>291</v>
      </c>
      <c r="K9" s="110"/>
      <c r="L9" s="181" t="s">
        <v>292</v>
      </c>
      <c r="M9" s="182"/>
      <c r="N9" s="181" t="s">
        <v>292</v>
      </c>
      <c r="O9" s="182"/>
      <c r="P9" s="183"/>
      <c r="Q9" s="171" t="s">
        <v>293</v>
      </c>
      <c r="R9" s="184"/>
      <c r="S9" s="132"/>
      <c r="U9" s="99">
        <f>IF(O9=0,0,IF(O9=1999,0.977,IF(O9=2000,1.0641,IF(O9=2001,1.1283,IF(O9=2002,1.213,IF(O9=2003,1.3584,IF(O9=2004,1.4924,IF(O9=2005,1.6049,V9))))))))</f>
        <v>0</v>
      </c>
      <c r="V9" s="5" t="str">
        <f>IF(O9=2006,1.6992,IF(O9=2007,1.7495,IF(O9=2008,1.8258,IF(O9=2009,1.9372,IF(O9=2010,2.0183,IF(O9=2011,2.1352,IF(O9=2012,2.2752,IF(O9=2013,2.4066,W9))))))))</f>
        <v>O ano não está correto para o intervalo</v>
      </c>
      <c r="W9" s="178" t="str">
        <f>IF(O9=2014,2.5473,IF(O9=2015,2.7119,IF(O9=2016,3.0023,IF(O9=2017,3.1999,IF(O9=2018,1,"O ano não está correto para o intervalo")))))</f>
        <v>O ano não está correto para o intervalo</v>
      </c>
    </row>
    <row r="10" spans="1:23" ht="6.75" customHeight="1" x14ac:dyDescent="0.2">
      <c r="A10" s="132"/>
      <c r="B10" s="132"/>
      <c r="C10" s="132"/>
      <c r="D10" s="132"/>
      <c r="E10" s="132"/>
      <c r="F10" s="171"/>
      <c r="G10" s="185"/>
      <c r="H10" s="185"/>
      <c r="I10" s="185"/>
      <c r="J10" s="180"/>
      <c r="K10" s="186"/>
      <c r="L10" s="181"/>
      <c r="M10" s="183"/>
      <c r="N10" s="181"/>
      <c r="O10" s="183"/>
      <c r="P10" s="183"/>
      <c r="Q10" s="171"/>
      <c r="R10" s="132"/>
      <c r="S10" s="132"/>
      <c r="U10" s="175"/>
      <c r="V10" s="175"/>
      <c r="W10" s="178"/>
    </row>
    <row r="11" spans="1:23" x14ac:dyDescent="0.2">
      <c r="A11" s="132"/>
      <c r="B11" s="132"/>
      <c r="C11" s="132"/>
      <c r="D11" s="132"/>
      <c r="E11" s="132"/>
      <c r="F11" s="171"/>
      <c r="G11" s="185"/>
      <c r="H11" s="185"/>
      <c r="I11" s="185"/>
      <c r="J11" s="547" t="str">
        <f>IF(U9="O ano não está correto para o intervalo","O ano não está correto para o intervalo","")</f>
        <v/>
      </c>
      <c r="K11" s="547"/>
      <c r="L11" s="547"/>
      <c r="M11" s="547"/>
      <c r="N11" s="547"/>
      <c r="O11" s="547"/>
      <c r="P11" s="547"/>
      <c r="Q11" s="547"/>
      <c r="R11" s="547"/>
      <c r="S11" s="132"/>
      <c r="U11" s="175"/>
      <c r="V11" s="175"/>
      <c r="W11" s="178"/>
    </row>
    <row r="12" spans="1:23" ht="6.75" customHeight="1" x14ac:dyDescent="0.2">
      <c r="A12" s="132"/>
      <c r="B12" s="132"/>
      <c r="C12" s="132"/>
      <c r="D12" s="132"/>
      <c r="E12" s="132"/>
      <c r="F12" s="132"/>
      <c r="G12" s="132"/>
      <c r="H12" s="171"/>
      <c r="I12" s="438"/>
      <c r="J12" s="438"/>
      <c r="K12" s="438"/>
      <c r="L12" s="438"/>
      <c r="M12" s="438"/>
      <c r="N12" s="438"/>
      <c r="O12" s="438"/>
      <c r="P12" s="438"/>
      <c r="Q12" s="132"/>
      <c r="R12" s="132"/>
      <c r="S12" s="132"/>
      <c r="V12" s="175" t="s">
        <v>294</v>
      </c>
      <c r="W12" s="175" t="s">
        <v>295</v>
      </c>
    </row>
    <row r="13" spans="1:23" ht="12.75" customHeight="1" x14ac:dyDescent="0.2">
      <c r="A13" s="132"/>
      <c r="B13" s="132"/>
      <c r="C13" s="132"/>
      <c r="D13" s="132"/>
      <c r="E13" s="132"/>
      <c r="F13" s="551" t="s">
        <v>296</v>
      </c>
      <c r="G13" s="551"/>
      <c r="H13" s="551"/>
      <c r="I13" s="551"/>
      <c r="J13" s="551"/>
      <c r="K13" s="20"/>
      <c r="L13" s="438"/>
      <c r="M13" s="512" t="str">
        <f>IF(T13&gt;1,"Escolher uma opção","")</f>
        <v/>
      </c>
      <c r="N13" s="512"/>
      <c r="O13" s="512"/>
      <c r="P13" s="512"/>
      <c r="Q13" s="512"/>
      <c r="R13" s="512"/>
      <c r="S13" s="132"/>
      <c r="T13" s="138">
        <f>COUNTA(K13,K15,K17)</f>
        <v>0</v>
      </c>
      <c r="U13" s="175">
        <f>(H20+H24+H26+H28+H30+H32+H35+H37+H41)*0.05</f>
        <v>0</v>
      </c>
      <c r="V13" s="175">
        <f>IF($T$13&gt;1,0,IF(K13="",0,$U$13))</f>
        <v>0</v>
      </c>
      <c r="W13" s="175">
        <f>V13</f>
        <v>0</v>
      </c>
    </row>
    <row r="14" spans="1:23" ht="6.75" customHeight="1" x14ac:dyDescent="0.2">
      <c r="A14" s="132"/>
      <c r="B14" s="132"/>
      <c r="C14" s="132"/>
      <c r="D14" s="132"/>
      <c r="E14" s="132"/>
      <c r="F14" s="187"/>
      <c r="G14" s="187"/>
      <c r="H14" s="187"/>
      <c r="I14" s="187"/>
      <c r="J14" s="187"/>
      <c r="K14" s="7"/>
      <c r="L14" s="438"/>
      <c r="M14" s="437"/>
      <c r="N14" s="437"/>
      <c r="O14" s="437"/>
      <c r="P14" s="437"/>
      <c r="Q14" s="437"/>
      <c r="R14" s="437"/>
      <c r="S14" s="132"/>
      <c r="T14" s="138"/>
      <c r="U14" s="175"/>
      <c r="V14" s="175"/>
      <c r="W14" s="175"/>
    </row>
    <row r="15" spans="1:23" ht="12.75" customHeight="1" x14ac:dyDescent="0.2">
      <c r="A15" s="132"/>
      <c r="B15" s="132"/>
      <c r="C15" s="132"/>
      <c r="D15" s="132"/>
      <c r="E15" s="132"/>
      <c r="F15" s="551" t="s">
        <v>297</v>
      </c>
      <c r="G15" s="551"/>
      <c r="H15" s="551"/>
      <c r="I15" s="551"/>
      <c r="J15" s="551"/>
      <c r="K15" s="20"/>
      <c r="L15" s="438"/>
      <c r="M15" s="437"/>
      <c r="N15" s="437"/>
      <c r="O15" s="437"/>
      <c r="P15" s="437"/>
      <c r="Q15" s="437"/>
      <c r="R15" s="437"/>
      <c r="S15" s="132"/>
      <c r="T15" s="138"/>
      <c r="U15" s="175"/>
      <c r="V15" s="175">
        <f>IF(T13&gt;1,0,IF(K15="",0,$U$13-$U$17))</f>
        <v>0</v>
      </c>
      <c r="W15" s="175">
        <f>IF($T$13&gt;1,0,IF(K15="",0,$U$13))</f>
        <v>0</v>
      </c>
    </row>
    <row r="16" spans="1:23" ht="6.75" customHeight="1" x14ac:dyDescent="0.2">
      <c r="A16" s="132"/>
      <c r="B16" s="132"/>
      <c r="C16" s="132"/>
      <c r="D16" s="132"/>
      <c r="E16" s="132"/>
      <c r="F16" s="132"/>
      <c r="G16" s="132"/>
      <c r="H16" s="171"/>
      <c r="I16" s="438"/>
      <c r="J16" s="438"/>
      <c r="K16" s="7"/>
      <c r="L16" s="438"/>
      <c r="M16" s="438"/>
      <c r="N16" s="438"/>
      <c r="O16" s="438"/>
      <c r="P16" s="438"/>
      <c r="Q16" s="132"/>
      <c r="R16" s="132"/>
      <c r="S16" s="132"/>
      <c r="U16" s="175"/>
      <c r="V16" s="175"/>
      <c r="W16" s="175"/>
    </row>
    <row r="17" spans="1:23" ht="12.75" customHeight="1" x14ac:dyDescent="0.2">
      <c r="A17" s="132"/>
      <c r="B17" s="132"/>
      <c r="C17" s="132"/>
      <c r="D17" s="132"/>
      <c r="E17" s="132"/>
      <c r="F17" s="551" t="s">
        <v>298</v>
      </c>
      <c r="G17" s="551"/>
      <c r="H17" s="551"/>
      <c r="I17" s="551"/>
      <c r="J17" s="551"/>
      <c r="K17" s="20"/>
      <c r="L17" s="438"/>
      <c r="M17" s="438"/>
      <c r="N17" s="438"/>
      <c r="O17" s="438"/>
      <c r="P17" s="438"/>
      <c r="Q17" s="132"/>
      <c r="R17" s="132"/>
      <c r="S17" s="132"/>
      <c r="U17" s="175">
        <f>(H20+H24+H26+H28+H30+H32+H35+H37)*0.05</f>
        <v>0</v>
      </c>
      <c r="V17" s="175">
        <f>IF(T13&gt;1,0,IF(K17="",0,$U$13-$U$17))</f>
        <v>0</v>
      </c>
      <c r="W17" s="175"/>
    </row>
    <row r="18" spans="1:23" ht="6.75" customHeight="1" x14ac:dyDescent="0.2">
      <c r="A18" s="132"/>
      <c r="B18" s="132"/>
      <c r="C18" s="132"/>
      <c r="D18" s="132"/>
      <c r="E18" s="132"/>
      <c r="F18" s="132"/>
      <c r="G18" s="132"/>
      <c r="H18" s="171"/>
      <c r="I18" s="438"/>
      <c r="J18" s="438"/>
      <c r="K18" s="438"/>
      <c r="L18" s="438"/>
      <c r="M18" s="438"/>
      <c r="N18" s="438"/>
      <c r="O18" s="438"/>
      <c r="P18" s="438"/>
      <c r="Q18" s="132"/>
      <c r="R18" s="132"/>
      <c r="S18" s="132"/>
    </row>
    <row r="19" spans="1:23" ht="38.25" x14ac:dyDescent="0.2">
      <c r="A19" s="132"/>
      <c r="B19" s="188" t="s">
        <v>299</v>
      </c>
      <c r="C19" s="188"/>
      <c r="D19" s="188" t="s">
        <v>300</v>
      </c>
      <c r="E19" s="188"/>
      <c r="F19" s="188" t="s">
        <v>301</v>
      </c>
      <c r="G19" s="188"/>
      <c r="H19" s="188" t="s">
        <v>302</v>
      </c>
      <c r="I19" s="132"/>
      <c r="J19" s="158"/>
      <c r="K19" s="132"/>
      <c r="L19" s="132"/>
      <c r="M19" s="132"/>
      <c r="N19" s="132"/>
      <c r="O19" s="132"/>
      <c r="P19" s="132"/>
      <c r="Q19" s="132"/>
      <c r="R19" s="132"/>
      <c r="S19" s="132"/>
      <c r="U19" s="189" t="s">
        <v>303</v>
      </c>
      <c r="V19" s="189">
        <f>SUM(V13:V17)</f>
        <v>0</v>
      </c>
      <c r="W19" s="189">
        <f>SUM(W13:W17)</f>
        <v>0</v>
      </c>
    </row>
    <row r="20" spans="1:23" x14ac:dyDescent="0.2">
      <c r="A20" s="132"/>
      <c r="B20" s="12" t="s">
        <v>304</v>
      </c>
      <c r="C20" s="12"/>
      <c r="D20" s="50" t="s">
        <v>305</v>
      </c>
      <c r="E20" s="50"/>
      <c r="F20" s="190"/>
      <c r="G20" s="439"/>
      <c r="H20" s="134">
        <f>IF($O$9="",F20,IF($U$9=0,"ERRO",IF($U$9="O ano não está correto para o intervalo","ERRO",IF($O$9=2018,F20,ROUND((F20/$U$9)*3.2939,2)))))</f>
        <v>0</v>
      </c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132"/>
    </row>
    <row r="21" spans="1:23" ht="6.75" customHeight="1" x14ac:dyDescent="0.2">
      <c r="A21" s="132"/>
      <c r="B21" s="12"/>
      <c r="C21" s="12"/>
      <c r="D21" s="50"/>
      <c r="E21" s="50"/>
      <c r="F21" s="439"/>
      <c r="G21" s="439"/>
      <c r="H21" s="134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</row>
    <row r="22" spans="1:23" x14ac:dyDescent="0.2">
      <c r="A22" s="132"/>
      <c r="B22" s="12"/>
      <c r="C22" s="12"/>
      <c r="D22" s="50" t="s">
        <v>306</v>
      </c>
      <c r="E22" s="50"/>
      <c r="F22" s="190"/>
      <c r="G22" s="439"/>
      <c r="H22" s="134">
        <f>IF($O$9="",F22,IF($U$9=0,"ERRO",IF($U$9="O ano não está correto para o intervalo","ERRO",IF($O$9=2018,F22,ROUND((F22/$U$9)*3.2939,2)))))</f>
        <v>0</v>
      </c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</row>
    <row r="23" spans="1:23" ht="6.75" customHeight="1" x14ac:dyDescent="0.2">
      <c r="A23" s="132"/>
      <c r="B23" s="12"/>
      <c r="C23" s="12"/>
      <c r="D23" s="50"/>
      <c r="E23" s="50"/>
      <c r="F23" s="439"/>
      <c r="G23" s="439"/>
      <c r="H23" s="134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</row>
    <row r="24" spans="1:23" x14ac:dyDescent="0.2">
      <c r="A24" s="132"/>
      <c r="B24" s="12" t="s">
        <v>307</v>
      </c>
      <c r="C24" s="12"/>
      <c r="D24" s="50" t="s">
        <v>308</v>
      </c>
      <c r="E24" s="50"/>
      <c r="F24" s="190"/>
      <c r="G24" s="439"/>
      <c r="H24" s="134">
        <f>IF($O$9="",F24,IF($U$9=0,"ERRO",IF($U$9="O ano não está correto para o intervalo","ERRO",IF($O$9=2018,F24,ROUND((F24/$U$9)*3.2939,2)))))</f>
        <v>0</v>
      </c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</row>
    <row r="25" spans="1:23" ht="6.75" customHeight="1" x14ac:dyDescent="0.2">
      <c r="A25" s="132"/>
      <c r="B25" s="12"/>
      <c r="C25" s="12"/>
      <c r="D25" s="50"/>
      <c r="E25" s="50"/>
      <c r="F25" s="439"/>
      <c r="G25" s="439"/>
      <c r="H25" s="134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</row>
    <row r="26" spans="1:23" ht="12.75" customHeight="1" x14ac:dyDescent="0.2">
      <c r="A26" s="132"/>
      <c r="B26" s="12" t="s">
        <v>309</v>
      </c>
      <c r="C26" s="12"/>
      <c r="D26" s="50" t="s">
        <v>310</v>
      </c>
      <c r="E26" s="50"/>
      <c r="F26" s="190"/>
      <c r="G26" s="439"/>
      <c r="H26" s="134">
        <f>IF($O$9="",F26,IF($U$9=0,"ERRO",IF($U$9="O ano não está correto para o intervalo","ERRO",IF($O$9=2018,F26,ROUND((F26/$U$9)*3.2939,2)))))</f>
        <v>0</v>
      </c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</row>
    <row r="27" spans="1:23" ht="6.75" customHeight="1" x14ac:dyDescent="0.2">
      <c r="A27" s="132"/>
      <c r="B27" s="12"/>
      <c r="C27" s="12"/>
      <c r="D27" s="50"/>
      <c r="E27" s="50"/>
      <c r="F27" s="439"/>
      <c r="G27" s="439"/>
      <c r="H27" s="134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</row>
    <row r="28" spans="1:23" x14ac:dyDescent="0.2">
      <c r="A28" s="132"/>
      <c r="B28" s="12" t="s">
        <v>311</v>
      </c>
      <c r="C28" s="12"/>
      <c r="D28" s="50" t="s">
        <v>312</v>
      </c>
      <c r="E28" s="50"/>
      <c r="F28" s="190"/>
      <c r="G28" s="439"/>
      <c r="H28" s="134">
        <f>IF($O$9="",F28,IF($U$9=0,"ERRO",IF($U$9="O ano não está correto para o intervalo","ERRO",IF($O$9=2018,F28,ROUND((F28/$U$9)*3.2939,2)))))</f>
        <v>0</v>
      </c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</row>
    <row r="29" spans="1:23" ht="6.75" customHeight="1" x14ac:dyDescent="0.2">
      <c r="A29" s="132"/>
      <c r="B29" s="12"/>
      <c r="C29" s="12"/>
      <c r="D29" s="50"/>
      <c r="E29" s="50"/>
      <c r="F29" s="330"/>
      <c r="G29" s="439"/>
      <c r="H29" s="134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</row>
    <row r="30" spans="1:23" ht="12.75" customHeight="1" x14ac:dyDescent="0.2">
      <c r="A30" s="132"/>
      <c r="B30" s="12" t="s">
        <v>313</v>
      </c>
      <c r="C30" s="12"/>
      <c r="D30" s="50" t="s">
        <v>314</v>
      </c>
      <c r="E30" s="50"/>
      <c r="F30" s="190"/>
      <c r="G30" s="439"/>
      <c r="H30" s="134">
        <f>IF($O$9="",F30,IF($U$9=0,"ERRO",IF($U$9="O ano não está correto para o intervalo","ERRO",IF($O$9=2018,F30,ROUND((F30/$U$9)*3.2939,2)))))</f>
        <v>0</v>
      </c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</row>
    <row r="31" spans="1:23" ht="6.75" customHeight="1" x14ac:dyDescent="0.2">
      <c r="A31" s="132"/>
      <c r="B31" s="12"/>
      <c r="C31" s="12"/>
      <c r="D31" s="50"/>
      <c r="E31" s="50"/>
      <c r="F31" s="439"/>
      <c r="G31" s="439"/>
      <c r="H31" s="134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</row>
    <row r="32" spans="1:23" ht="12.75" customHeight="1" x14ac:dyDescent="0.2">
      <c r="A32" s="132"/>
      <c r="B32" s="12" t="s">
        <v>315</v>
      </c>
      <c r="C32" s="12"/>
      <c r="D32" s="50" t="s">
        <v>316</v>
      </c>
      <c r="E32" s="50"/>
      <c r="F32" s="190"/>
      <c r="G32" s="439"/>
      <c r="H32" s="134">
        <f>IF($O$9="",F32,IF($U$9=0,"ERRO",IF($U$9="O ano não está correto para o intervalo","ERRO",IF($O$9=2018,F32,ROUND((F32/$U$9)*3.2939,2)))))</f>
        <v>0</v>
      </c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</row>
    <row r="33" spans="1:21" ht="6" customHeight="1" x14ac:dyDescent="0.2">
      <c r="A33" s="132"/>
      <c r="B33" s="12"/>
      <c r="C33" s="12"/>
      <c r="D33" s="50"/>
      <c r="E33" s="50"/>
      <c r="F33" s="330"/>
      <c r="G33" s="439"/>
      <c r="H33" s="134"/>
      <c r="I33" s="132"/>
      <c r="J33" s="132"/>
      <c r="K33" s="132"/>
      <c r="L33" s="132"/>
      <c r="M33" s="132"/>
      <c r="N33" s="132"/>
      <c r="O33" s="132"/>
      <c r="P33" s="132"/>
      <c r="Q33" s="132"/>
      <c r="R33" s="132"/>
      <c r="S33" s="132"/>
    </row>
    <row r="34" spans="1:21" ht="6.75" customHeight="1" x14ac:dyDescent="0.2">
      <c r="A34" s="132"/>
      <c r="B34" s="12"/>
      <c r="C34" s="12"/>
      <c r="D34" s="50"/>
      <c r="E34" s="50"/>
      <c r="F34" s="439"/>
      <c r="G34" s="439"/>
      <c r="H34" s="134"/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132"/>
    </row>
    <row r="35" spans="1:21" ht="12.75" customHeight="1" x14ac:dyDescent="0.2">
      <c r="A35" s="132"/>
      <c r="B35" s="191"/>
      <c r="C35" s="12"/>
      <c r="D35" s="192"/>
      <c r="E35" s="50"/>
      <c r="F35" s="190"/>
      <c r="G35" s="439"/>
      <c r="H35" s="134">
        <f>IF($O$9="",F35,IF($U$9=0,"ERRO",IF($U$9="O ano não está correto para o intervalo","ERRO",IF($O$9=2018,F35,ROUND((F35/$U$9)*3.2939,2)))))</f>
        <v>0</v>
      </c>
      <c r="I35" s="512" t="str">
        <f>IF(B35="","Falta preencher o Código da Receita",IF(B35=Certidão!B24,"","Recolhimento em conta diversa"))</f>
        <v>Falta preencher o Código da Receita</v>
      </c>
      <c r="J35" s="512"/>
      <c r="K35" s="512"/>
      <c r="L35" s="512"/>
      <c r="M35" s="512"/>
      <c r="N35" s="512"/>
      <c r="O35" s="512"/>
      <c r="P35" s="512"/>
      <c r="Q35" s="512"/>
      <c r="R35" s="512"/>
      <c r="S35" s="132"/>
    </row>
    <row r="36" spans="1:21" ht="6.75" customHeight="1" x14ac:dyDescent="0.2">
      <c r="A36" s="132"/>
      <c r="B36" s="12"/>
      <c r="C36" s="12"/>
      <c r="D36" s="50"/>
      <c r="E36" s="50"/>
      <c r="F36" s="439"/>
      <c r="G36" s="439"/>
      <c r="H36" s="134"/>
      <c r="I36" s="512"/>
      <c r="J36" s="512"/>
      <c r="K36" s="512"/>
      <c r="L36" s="512"/>
      <c r="M36" s="512"/>
      <c r="N36" s="512"/>
      <c r="O36" s="512"/>
      <c r="P36" s="512"/>
      <c r="Q36" s="512"/>
      <c r="R36" s="512"/>
      <c r="S36" s="132"/>
    </row>
    <row r="37" spans="1:21" ht="12.75" customHeight="1" x14ac:dyDescent="0.2">
      <c r="A37" s="132"/>
      <c r="B37" s="184"/>
      <c r="C37" s="12"/>
      <c r="D37" s="184"/>
      <c r="E37" s="50"/>
      <c r="F37" s="190"/>
      <c r="G37" s="439"/>
      <c r="H37" s="134">
        <f>IF($O$9="",F37,IF($U$9=0,"ERRO",IF($U$9="O ano não está correto para o intervalo","ERRO",IF($O$9=2018,F37,ROUND((F37/$U$9)*3.2939,2)))))</f>
        <v>0</v>
      </c>
      <c r="I37" s="512" t="str">
        <f>IF(B37="","Falta preencher o Código da Receita",IF(B37=Certidão!B25,"","Recolhimento em conta diversa"))</f>
        <v>Falta preencher o Código da Receita</v>
      </c>
      <c r="J37" s="512"/>
      <c r="K37" s="512"/>
      <c r="L37" s="512"/>
      <c r="M37" s="512"/>
      <c r="N37" s="512"/>
      <c r="O37" s="512"/>
      <c r="P37" s="512"/>
      <c r="Q37" s="512"/>
      <c r="R37" s="512"/>
      <c r="S37" s="132"/>
    </row>
    <row r="38" spans="1:21" ht="6.75" customHeight="1" x14ac:dyDescent="0.2">
      <c r="A38" s="132"/>
      <c r="B38" s="12"/>
      <c r="C38" s="12"/>
      <c r="D38" s="50"/>
      <c r="E38" s="50"/>
      <c r="F38" s="439"/>
      <c r="G38" s="439"/>
      <c r="H38" s="134"/>
      <c r="I38" s="512"/>
      <c r="J38" s="512"/>
      <c r="K38" s="512"/>
      <c r="L38" s="512"/>
      <c r="M38" s="512"/>
      <c r="N38" s="512"/>
      <c r="O38" s="512"/>
      <c r="P38" s="512"/>
      <c r="Q38" s="512"/>
      <c r="R38" s="512"/>
      <c r="S38" s="132"/>
    </row>
    <row r="39" spans="1:21" x14ac:dyDescent="0.2">
      <c r="A39" s="132"/>
      <c r="B39" s="12" t="s">
        <v>317</v>
      </c>
      <c r="C39" s="12"/>
      <c r="D39" s="50" t="s">
        <v>318</v>
      </c>
      <c r="E39" s="50"/>
      <c r="F39" s="190"/>
      <c r="G39" s="439"/>
      <c r="H39" s="134">
        <f>IF($O$9="",F39,IF($U$9=0,"ERRO",IF($U$9="O ano não está correto para o intervalo","ERRO",IF($O$9=2018,F39,ROUND((F39/$U$9)*3.2939,2)))))</f>
        <v>0</v>
      </c>
      <c r="I39" s="512"/>
      <c r="J39" s="512"/>
      <c r="K39" s="512"/>
      <c r="L39" s="512"/>
      <c r="M39" s="512"/>
      <c r="N39" s="512"/>
      <c r="O39" s="512"/>
      <c r="P39" s="512"/>
      <c r="Q39" s="512"/>
      <c r="R39" s="512"/>
      <c r="S39" s="132"/>
    </row>
    <row r="40" spans="1:21" ht="6.75" customHeight="1" x14ac:dyDescent="0.2">
      <c r="A40" s="132"/>
      <c r="B40" s="12"/>
      <c r="C40" s="12"/>
      <c r="D40" s="50"/>
      <c r="E40" s="50"/>
      <c r="F40" s="439"/>
      <c r="G40" s="439"/>
      <c r="H40" s="134"/>
      <c r="I40" s="512"/>
      <c r="J40" s="512"/>
      <c r="K40" s="512"/>
      <c r="L40" s="512"/>
      <c r="M40" s="512"/>
      <c r="N40" s="512"/>
      <c r="O40" s="512"/>
      <c r="P40" s="512"/>
      <c r="Q40" s="512"/>
      <c r="R40" s="512"/>
      <c r="S40" s="132"/>
    </row>
    <row r="41" spans="1:21" x14ac:dyDescent="0.2">
      <c r="A41" s="132"/>
      <c r="B41" s="193"/>
      <c r="C41" s="194"/>
      <c r="D41" s="50" t="s">
        <v>319</v>
      </c>
      <c r="E41" s="50"/>
      <c r="F41" s="190"/>
      <c r="G41" s="439"/>
      <c r="H41" s="134">
        <f>IF($O$9="",F41,IF($U$9=0,"ERRO",IF($U$9="O ano não está correto para o intervalo","ERRO",IF($O$9=2018,F41,ROUND((F41/$U$9)*3.2939,2)))))</f>
        <v>0</v>
      </c>
      <c r="I41" s="512" t="str">
        <f>IF(B41="","Falta preencher o Código da Receita",IF(B41=Certidão!B27,"","Recolhimento em conta diversa"))</f>
        <v>Falta preencher o Código da Receita</v>
      </c>
      <c r="J41" s="512"/>
      <c r="K41" s="512"/>
      <c r="L41" s="512"/>
      <c r="M41" s="512"/>
      <c r="N41" s="512"/>
      <c r="O41" s="512"/>
      <c r="P41" s="512"/>
      <c r="Q41" s="512"/>
      <c r="R41" s="512"/>
      <c r="S41" s="132"/>
      <c r="U41" s="139">
        <f>IF(I41="Recolhimento em conta diversa",0,H41)</f>
        <v>0</v>
      </c>
    </row>
    <row r="42" spans="1:21" ht="6.75" customHeight="1" x14ac:dyDescent="0.2">
      <c r="A42" s="132"/>
      <c r="B42" s="195"/>
      <c r="C42" s="194"/>
      <c r="D42" s="50"/>
      <c r="E42" s="50"/>
      <c r="F42" s="133"/>
      <c r="G42" s="439"/>
      <c r="H42" s="134"/>
      <c r="I42" s="437"/>
      <c r="J42" s="437"/>
      <c r="K42" s="437"/>
      <c r="L42" s="437"/>
      <c r="M42" s="437"/>
      <c r="N42" s="437"/>
      <c r="O42" s="437"/>
      <c r="P42" s="437"/>
      <c r="Q42" s="437"/>
      <c r="R42" s="437"/>
      <c r="S42" s="132"/>
      <c r="U42" s="139"/>
    </row>
    <row r="43" spans="1:21" x14ac:dyDescent="0.2">
      <c r="A43" s="132"/>
      <c r="B43" s="193"/>
      <c r="C43" s="194"/>
      <c r="D43" s="50" t="s">
        <v>320</v>
      </c>
      <c r="E43" s="50"/>
      <c r="F43" s="190"/>
      <c r="G43" s="439"/>
      <c r="H43" s="134">
        <f>IF($O$9="",F43,IF($U$9=0,"ERRO",IF($U$9="O ano não está correto para o intervalo","ERRO",IF($O$9=2018,F43,ROUND((F43/$U$9)*3.2939,2)))))</f>
        <v>0</v>
      </c>
      <c r="I43" s="437"/>
      <c r="J43" s="437"/>
      <c r="K43" s="437"/>
      <c r="L43" s="437"/>
      <c r="M43" s="437"/>
      <c r="N43" s="437"/>
      <c r="O43" s="437"/>
      <c r="P43" s="437"/>
      <c r="Q43" s="437"/>
      <c r="R43" s="437"/>
      <c r="S43" s="132"/>
      <c r="U43" s="139"/>
    </row>
    <row r="44" spans="1:21" ht="6.75" customHeight="1" x14ac:dyDescent="0.2">
      <c r="A44" s="132"/>
      <c r="B44" s="194"/>
      <c r="C44" s="194"/>
      <c r="D44" s="50"/>
      <c r="E44" s="50"/>
      <c r="F44" s="439"/>
      <c r="G44" s="439"/>
      <c r="H44" s="134"/>
      <c r="I44" s="132"/>
      <c r="J44" s="132"/>
      <c r="K44" s="132"/>
      <c r="L44" s="132"/>
      <c r="M44" s="132"/>
      <c r="N44" s="132"/>
      <c r="O44" s="132"/>
      <c r="P44" s="132"/>
      <c r="Q44" s="132"/>
      <c r="R44" s="132"/>
      <c r="S44" s="132"/>
    </row>
    <row r="45" spans="1:21" x14ac:dyDescent="0.2">
      <c r="A45" s="132"/>
      <c r="B45" s="194" t="s">
        <v>321</v>
      </c>
      <c r="C45" s="194"/>
      <c r="D45" s="50" t="s">
        <v>322</v>
      </c>
      <c r="E45" s="50"/>
      <c r="F45" s="190"/>
      <c r="G45" s="439"/>
      <c r="H45" s="134">
        <f>IF($O$9="",F45,IF($U$9=0,"ERRO",IF($U$9="O ano não está correto para o intervalo","ERRO",IF($O$9=2018,F45,ROUND((F45/$U$9)*3.2939,2)))))</f>
        <v>0</v>
      </c>
      <c r="I45" s="132"/>
      <c r="J45" s="132"/>
      <c r="K45" s="132"/>
      <c r="L45" s="132"/>
      <c r="M45" s="132"/>
      <c r="N45" s="132"/>
      <c r="O45" s="132"/>
      <c r="P45" s="132"/>
      <c r="Q45" s="132"/>
      <c r="R45" s="132"/>
      <c r="S45" s="132"/>
      <c r="U45" s="175" t="str">
        <f>IF(I41="Recolhimento em conta diversa","D","")</f>
        <v/>
      </c>
    </row>
    <row r="46" spans="1:21" ht="6.75" customHeight="1" x14ac:dyDescent="0.2">
      <c r="A46" s="132"/>
      <c r="B46" s="194"/>
      <c r="C46" s="194"/>
      <c r="D46" s="50"/>
      <c r="E46" s="50"/>
      <c r="F46" s="439"/>
      <c r="G46" s="439"/>
      <c r="H46" s="134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2"/>
    </row>
    <row r="47" spans="1:21" x14ac:dyDescent="0.2">
      <c r="A47" s="132"/>
      <c r="B47" s="12" t="s">
        <v>323</v>
      </c>
      <c r="C47" s="12"/>
      <c r="D47" s="50" t="s">
        <v>324</v>
      </c>
      <c r="E47" s="50"/>
      <c r="F47" s="190"/>
      <c r="G47" s="439"/>
      <c r="H47" s="134">
        <f>IF($O$9="",F47,IF($U$9=0,"ERRO",IF($U$9="O ano não está correto para o intervalo","ERRO",IF($O$9=2018,F47,ROUND((F47/$U$9)*3.2939,2)))))</f>
        <v>0</v>
      </c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U47" s="138">
        <f>IF(I41="Recolhimento em conta diversa",1,0)</f>
        <v>0</v>
      </c>
    </row>
    <row r="48" spans="1:21" ht="6.75" customHeight="1" x14ac:dyDescent="0.2">
      <c r="A48" s="132"/>
      <c r="B48" s="12"/>
      <c r="C48" s="12"/>
      <c r="D48" s="50"/>
      <c r="E48" s="50"/>
      <c r="F48" s="439"/>
      <c r="G48" s="439"/>
      <c r="H48" s="134"/>
      <c r="I48" s="132"/>
      <c r="J48" s="132"/>
      <c r="K48" s="132"/>
      <c r="L48" s="132"/>
      <c r="M48" s="132"/>
      <c r="N48" s="132"/>
      <c r="O48" s="132"/>
      <c r="P48" s="132"/>
      <c r="Q48" s="132"/>
      <c r="R48" s="132"/>
      <c r="S48" s="132"/>
    </row>
    <row r="49" spans="1:19" ht="13.5" customHeight="1" x14ac:dyDescent="0.2">
      <c r="A49" s="132"/>
      <c r="B49" s="12" t="s">
        <v>325</v>
      </c>
      <c r="C49" s="12"/>
      <c r="D49" s="50" t="s">
        <v>326</v>
      </c>
      <c r="E49" s="50"/>
      <c r="F49" s="190"/>
      <c r="G49" s="439"/>
      <c r="H49" s="134">
        <f>IF($O$9="",F49,IF($U$9=0,"ERRO",IF($U$9="O ano não está correto para o intervalo","ERRO",IF($O$9=2018,F49,ROUND((F49/$U$9)*3.2939,2)))))</f>
        <v>0</v>
      </c>
      <c r="I49" s="132"/>
      <c r="J49" s="132"/>
      <c r="K49" s="132"/>
      <c r="L49" s="132"/>
      <c r="M49" s="132"/>
      <c r="N49" s="132"/>
      <c r="O49" s="132"/>
      <c r="P49" s="132"/>
      <c r="Q49" s="132"/>
      <c r="R49" s="132"/>
      <c r="S49" s="132"/>
    </row>
    <row r="50" spans="1:19" ht="6.75" customHeight="1" x14ac:dyDescent="0.2">
      <c r="A50" s="132"/>
      <c r="B50" s="12"/>
      <c r="C50" s="12"/>
      <c r="D50" s="50"/>
      <c r="E50" s="50"/>
      <c r="F50" s="439"/>
      <c r="G50" s="439"/>
      <c r="H50" s="134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</row>
    <row r="51" spans="1:19" x14ac:dyDescent="0.2">
      <c r="A51" s="132"/>
      <c r="B51" s="12" t="s">
        <v>327</v>
      </c>
      <c r="C51" s="12"/>
      <c r="D51" s="50" t="s">
        <v>328</v>
      </c>
      <c r="E51" s="50"/>
      <c r="F51" s="190"/>
      <c r="G51" s="439"/>
      <c r="H51" s="134">
        <f>IF($O$9="",F51,IF($U$9=0,"ERRO",IF($U$9="O ano não está correto para o intervalo","ERRO",IF($O$9=2018,F51,ROUND((F51/$U$9)*3.2939,2)))))</f>
        <v>0</v>
      </c>
      <c r="I51" s="132"/>
      <c r="J51" s="132"/>
      <c r="K51" s="132"/>
      <c r="L51" s="132"/>
      <c r="M51" s="132"/>
      <c r="N51" s="132"/>
      <c r="O51" s="132"/>
      <c r="P51" s="132"/>
      <c r="Q51" s="132"/>
      <c r="R51" s="132"/>
      <c r="S51" s="132"/>
    </row>
    <row r="52" spans="1:19" ht="6.75" customHeight="1" x14ac:dyDescent="0.2">
      <c r="A52" s="132"/>
      <c r="B52" s="132"/>
      <c r="C52" s="132"/>
      <c r="D52" s="132"/>
      <c r="E52" s="132"/>
      <c r="F52" s="170"/>
      <c r="G52" s="170"/>
      <c r="H52" s="134"/>
      <c r="I52" s="132"/>
      <c r="J52" s="132"/>
      <c r="K52" s="132"/>
      <c r="L52" s="132"/>
      <c r="M52" s="132"/>
      <c r="N52" s="132"/>
      <c r="O52" s="132"/>
      <c r="P52" s="132"/>
      <c r="Q52" s="132"/>
      <c r="R52" s="132"/>
      <c r="S52" s="132"/>
    </row>
    <row r="53" spans="1:19" ht="12.75" customHeight="1" x14ac:dyDescent="0.2">
      <c r="A53" s="132"/>
      <c r="B53" s="196"/>
      <c r="C53" s="132"/>
      <c r="D53" s="166" t="s">
        <v>319</v>
      </c>
      <c r="E53" s="166"/>
      <c r="F53" s="190"/>
      <c r="G53" s="170"/>
      <c r="H53" s="134">
        <f>IF($O$9="",F53,IF($U$9=0,"ERRO",IF($U$9="O ano não está correto para o intervalo","ERRO",IF($O$9=2018,F53,ROUND((F53/$U$9)*3.2939,2)))))</f>
        <v>0</v>
      </c>
      <c r="I53" s="132"/>
      <c r="J53" s="132"/>
      <c r="K53" s="132"/>
      <c r="L53" s="132"/>
      <c r="M53" s="132"/>
      <c r="N53" s="132"/>
      <c r="O53" s="132"/>
      <c r="P53" s="132"/>
      <c r="Q53" s="132"/>
      <c r="R53" s="132"/>
      <c r="S53" s="132"/>
    </row>
    <row r="54" spans="1:19" ht="6.75" customHeight="1" x14ac:dyDescent="0.2">
      <c r="A54" s="132"/>
      <c r="B54" s="197"/>
      <c r="C54" s="132"/>
      <c r="D54" s="166"/>
      <c r="E54" s="166"/>
      <c r="F54" s="198"/>
      <c r="G54" s="170"/>
      <c r="H54" s="134"/>
      <c r="I54" s="132"/>
      <c r="J54" s="132"/>
      <c r="K54" s="132"/>
      <c r="L54" s="132"/>
      <c r="M54" s="132"/>
      <c r="N54" s="132"/>
      <c r="O54" s="132"/>
      <c r="P54" s="132"/>
      <c r="Q54" s="132"/>
      <c r="R54" s="132"/>
      <c r="S54" s="132"/>
    </row>
    <row r="55" spans="1:19" ht="12.75" customHeight="1" x14ac:dyDescent="0.2">
      <c r="A55" s="132"/>
      <c r="B55" s="196"/>
      <c r="C55" s="132"/>
      <c r="D55" s="50" t="s">
        <v>320</v>
      </c>
      <c r="E55" s="166"/>
      <c r="F55" s="190"/>
      <c r="G55" s="170"/>
      <c r="H55" s="134">
        <f>IF($O$9="",F55,IF($U$9=0,"ERRO",IF($U$9="O ano não está correto para o intervalo","ERRO",IF($O$9=2018,F55,ROUND((F55/$U$9)*3.2939,2)))))</f>
        <v>0</v>
      </c>
      <c r="I55" s="132"/>
      <c r="J55" s="132"/>
      <c r="K55" s="132"/>
      <c r="L55" s="132"/>
      <c r="M55" s="132"/>
      <c r="N55" s="132"/>
      <c r="O55" s="132"/>
      <c r="P55" s="132"/>
      <c r="Q55" s="132"/>
      <c r="R55" s="132"/>
      <c r="S55" s="132"/>
    </row>
    <row r="56" spans="1:19" ht="6.75" customHeight="1" x14ac:dyDescent="0.2">
      <c r="A56" s="132"/>
      <c r="B56" s="166"/>
      <c r="C56" s="132"/>
      <c r="D56" s="166"/>
      <c r="E56" s="166"/>
      <c r="F56" s="170"/>
      <c r="G56" s="170"/>
      <c r="H56" s="134"/>
      <c r="I56" s="132"/>
      <c r="J56" s="132"/>
      <c r="K56" s="132"/>
      <c r="L56" s="132"/>
      <c r="M56" s="132"/>
      <c r="N56" s="132"/>
      <c r="O56" s="132"/>
      <c r="P56" s="132"/>
      <c r="Q56" s="132"/>
      <c r="R56" s="132"/>
      <c r="S56" s="132"/>
    </row>
    <row r="57" spans="1:19" ht="12.75" customHeight="1" x14ac:dyDescent="0.2">
      <c r="A57" s="132"/>
      <c r="B57" s="196"/>
      <c r="C57" s="132"/>
      <c r="D57" s="166" t="s">
        <v>319</v>
      </c>
      <c r="E57" s="166"/>
      <c r="F57" s="190"/>
      <c r="G57" s="170"/>
      <c r="H57" s="134">
        <f>IF($O$9="",F57,IF($U$9=0,"ERRO",IF($U$9="O ano não está correto para o intervalo","ERRO",IF($O$9=2018,F57,ROUND((F57/$U$9)*3.2939,2)))))</f>
        <v>0</v>
      </c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</row>
    <row r="58" spans="1:19" ht="6.75" customHeight="1" x14ac:dyDescent="0.2">
      <c r="A58" s="132"/>
      <c r="B58" s="197"/>
      <c r="C58" s="132"/>
      <c r="D58" s="166"/>
      <c r="E58" s="166"/>
      <c r="F58" s="198"/>
      <c r="G58" s="170"/>
      <c r="H58" s="134"/>
      <c r="I58" s="132"/>
      <c r="J58" s="132"/>
      <c r="K58" s="132"/>
      <c r="L58" s="132"/>
      <c r="M58" s="132"/>
      <c r="N58" s="132"/>
      <c r="O58" s="132"/>
      <c r="P58" s="132"/>
      <c r="Q58" s="132"/>
      <c r="R58" s="132"/>
      <c r="S58" s="132"/>
    </row>
    <row r="59" spans="1:19" ht="12.75" customHeight="1" x14ac:dyDescent="0.2">
      <c r="A59" s="132"/>
      <c r="B59" s="196"/>
      <c r="C59" s="132"/>
      <c r="D59" s="50" t="s">
        <v>320</v>
      </c>
      <c r="E59" s="166"/>
      <c r="F59" s="190"/>
      <c r="G59" s="170"/>
      <c r="H59" s="134">
        <f>IF($O$9="",F59,IF($U$9=0,"ERRO",IF($U$9="O ano não está correto para o intervalo","ERRO",IF($O$9=2018,F59,ROUND((F59/$U$9)*3.2939,2)))))</f>
        <v>0</v>
      </c>
      <c r="I59" s="132"/>
      <c r="J59" s="132"/>
      <c r="K59" s="132"/>
      <c r="L59" s="132"/>
      <c r="M59" s="132"/>
      <c r="N59" s="132"/>
      <c r="O59" s="132"/>
      <c r="P59" s="132"/>
      <c r="Q59" s="132"/>
      <c r="R59" s="132"/>
      <c r="S59" s="132"/>
    </row>
    <row r="60" spans="1:19" ht="6.75" customHeight="1" x14ac:dyDescent="0.2">
      <c r="A60" s="132"/>
      <c r="B60" s="166"/>
      <c r="C60" s="132"/>
      <c r="D60" s="166"/>
      <c r="E60" s="166"/>
      <c r="F60" s="187"/>
      <c r="G60" s="170"/>
      <c r="H60" s="134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</row>
    <row r="61" spans="1:19" ht="12.75" customHeight="1" x14ac:dyDescent="0.2">
      <c r="A61" s="132"/>
      <c r="B61" s="196"/>
      <c r="C61" s="132"/>
      <c r="D61" s="166" t="s">
        <v>319</v>
      </c>
      <c r="E61" s="166"/>
      <c r="F61" s="190"/>
      <c r="G61" s="170"/>
      <c r="H61" s="134">
        <f>IF($O$9="",F61,IF($U$9=0,"ERRO",IF($U$9="O ano não está correto para o intervalo","ERRO",IF($O$9=2018,F61,ROUND((F61/$U$9)*3.2939,2)))))</f>
        <v>0</v>
      </c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</row>
    <row r="62" spans="1:19" ht="6.75" customHeight="1" x14ac:dyDescent="0.2">
      <c r="A62" s="132"/>
      <c r="B62" s="197"/>
      <c r="C62" s="132"/>
      <c r="D62" s="166"/>
      <c r="E62" s="166"/>
      <c r="F62" s="198"/>
      <c r="G62" s="170"/>
      <c r="H62" s="134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</row>
    <row r="63" spans="1:19" ht="12.75" customHeight="1" x14ac:dyDescent="0.2">
      <c r="A63" s="132"/>
      <c r="B63" s="196"/>
      <c r="C63" s="132"/>
      <c r="D63" s="50" t="s">
        <v>320</v>
      </c>
      <c r="E63" s="166"/>
      <c r="F63" s="190"/>
      <c r="G63" s="170"/>
      <c r="H63" s="134">
        <f>IF($O$9="",F63,IF($U$9=0,"ERRO",IF($U$9="O ano não está correto para o intervalo","ERRO",IF($O$9=2018,F63,ROUND((F63/$U$9)*3.2939,2)))))</f>
        <v>0</v>
      </c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</row>
    <row r="64" spans="1:19" ht="6.75" customHeight="1" x14ac:dyDescent="0.2">
      <c r="A64" s="132"/>
      <c r="B64" s="166"/>
      <c r="C64" s="132"/>
      <c r="D64" s="166"/>
      <c r="E64" s="166"/>
      <c r="F64" s="187"/>
      <c r="G64" s="170"/>
      <c r="H64" s="134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</row>
    <row r="65" spans="1:23" ht="12.75" customHeight="1" x14ac:dyDescent="0.2">
      <c r="A65" s="132"/>
      <c r="B65" s="196"/>
      <c r="C65" s="132"/>
      <c r="D65" s="166" t="s">
        <v>319</v>
      </c>
      <c r="E65" s="166"/>
      <c r="F65" s="190"/>
      <c r="G65" s="170"/>
      <c r="H65" s="134">
        <f>IF($O$9="",F65,IF($U$9=0,"ERRO",IF($U$9="O ano não está correto para o intervalo","ERRO",IF($O$9=2018,F65,ROUND((F65/$U$9)*3.2939,2)))))</f>
        <v>0</v>
      </c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</row>
    <row r="66" spans="1:23" ht="6.75" customHeight="1" x14ac:dyDescent="0.2">
      <c r="A66" s="132"/>
      <c r="B66" s="197"/>
      <c r="C66" s="132"/>
      <c r="D66" s="166"/>
      <c r="E66" s="166"/>
      <c r="F66" s="198"/>
      <c r="G66" s="170"/>
      <c r="H66" s="134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</row>
    <row r="67" spans="1:23" ht="12.75" customHeight="1" x14ac:dyDescent="0.2">
      <c r="A67" s="132"/>
      <c r="B67" s="196"/>
      <c r="C67" s="132"/>
      <c r="D67" s="50" t="s">
        <v>320</v>
      </c>
      <c r="E67" s="166"/>
      <c r="F67" s="190"/>
      <c r="G67" s="170"/>
      <c r="H67" s="134">
        <f>IF($O$9="",F67,IF($U$9=0,"ERRO",IF($U$9="O ano não está correto para o intervalo","ERRO",IF($O$9=2018,F67,ROUND((F67/$U$9)*3.2939,2)))))</f>
        <v>0</v>
      </c>
      <c r="I67" s="132"/>
      <c r="J67" s="132"/>
      <c r="K67" s="132"/>
      <c r="L67" s="132"/>
      <c r="M67" s="132"/>
      <c r="N67" s="132"/>
      <c r="O67" s="132"/>
      <c r="P67" s="132"/>
      <c r="Q67" s="132"/>
      <c r="R67" s="132"/>
      <c r="S67" s="132"/>
    </row>
    <row r="68" spans="1:23" ht="6.75" customHeight="1" x14ac:dyDescent="0.2">
      <c r="A68" s="132"/>
      <c r="B68" s="12"/>
      <c r="C68" s="12"/>
      <c r="D68" s="50"/>
      <c r="E68" s="50"/>
      <c r="F68" s="439"/>
      <c r="G68" s="439"/>
      <c r="H68" s="134"/>
      <c r="I68" s="437"/>
      <c r="J68" s="437"/>
      <c r="K68" s="437"/>
      <c r="L68" s="437"/>
      <c r="M68" s="437"/>
      <c r="N68" s="437"/>
      <c r="O68" s="437"/>
      <c r="P68" s="437"/>
      <c r="Q68" s="437"/>
      <c r="R68" s="437"/>
      <c r="S68" s="132"/>
    </row>
    <row r="69" spans="1:23" x14ac:dyDescent="0.2">
      <c r="A69" s="132"/>
      <c r="B69" s="12" t="s">
        <v>329</v>
      </c>
      <c r="C69" s="12"/>
      <c r="D69" s="50" t="s">
        <v>218</v>
      </c>
      <c r="E69" s="50"/>
      <c r="F69" s="190"/>
      <c r="G69" s="439"/>
      <c r="H69" s="134">
        <f>IF($O$9="",F69,IF($U$9=0,"ERRO",IF($U$9="O ano não está correto para o intervalo","ERRO",IF($O$9=2018,F69,ROUND((F69/$U$9)*3.2939,2)))))</f>
        <v>0</v>
      </c>
      <c r="I69" s="437"/>
      <c r="J69" s="437"/>
      <c r="K69" s="437"/>
      <c r="L69" s="437"/>
      <c r="M69" s="437"/>
      <c r="N69" s="437"/>
      <c r="O69" s="437"/>
      <c r="P69" s="437"/>
      <c r="Q69" s="437"/>
      <c r="R69" s="437"/>
      <c r="S69" s="132"/>
    </row>
    <row r="70" spans="1:23" ht="6.75" customHeight="1" x14ac:dyDescent="0.2">
      <c r="A70" s="132"/>
      <c r="B70" s="12"/>
      <c r="C70" s="12"/>
      <c r="D70" s="50"/>
      <c r="E70" s="50"/>
      <c r="F70" s="439"/>
      <c r="G70" s="439"/>
      <c r="H70" s="134"/>
      <c r="I70" s="437"/>
      <c r="J70" s="437"/>
      <c r="K70" s="437"/>
      <c r="L70" s="437"/>
      <c r="M70" s="437"/>
      <c r="N70" s="437"/>
      <c r="O70" s="437"/>
      <c r="P70" s="437"/>
      <c r="Q70" s="437"/>
      <c r="R70" s="437"/>
      <c r="S70" s="132"/>
    </row>
    <row r="71" spans="1:23" x14ac:dyDescent="0.2">
      <c r="A71" s="132"/>
      <c r="B71" s="12" t="s">
        <v>330</v>
      </c>
      <c r="C71" s="12"/>
      <c r="D71" s="50" t="s">
        <v>224</v>
      </c>
      <c r="E71" s="50"/>
      <c r="F71" s="190"/>
      <c r="G71" s="439"/>
      <c r="H71" s="134">
        <f>IF($O$9="",F71,IF($U$9=0,"ERRO",IF($U$9="O ano não está correto para o intervalo","ERRO",IF($O$9=2018,F71,ROUND((F71/$U$9)*3.2939,2)))))</f>
        <v>0</v>
      </c>
      <c r="I71" s="437"/>
      <c r="J71" s="437"/>
      <c r="K71" s="437"/>
      <c r="L71" s="437"/>
      <c r="M71" s="437"/>
      <c r="N71" s="437"/>
      <c r="O71" s="437"/>
      <c r="P71" s="437"/>
      <c r="Q71" s="437"/>
      <c r="R71" s="437"/>
      <c r="S71" s="132"/>
    </row>
    <row r="72" spans="1:23" ht="6" customHeight="1" x14ac:dyDescent="0.2">
      <c r="A72" s="132"/>
      <c r="B72" s="12"/>
      <c r="C72" s="12"/>
      <c r="D72" s="50"/>
      <c r="E72" s="50"/>
      <c r="F72" s="330"/>
      <c r="G72" s="439"/>
      <c r="H72" s="134"/>
      <c r="I72" s="437"/>
      <c r="J72" s="437"/>
      <c r="K72" s="437"/>
      <c r="L72" s="437"/>
      <c r="M72" s="437"/>
      <c r="N72" s="437"/>
      <c r="O72" s="437"/>
      <c r="P72" s="437"/>
      <c r="Q72" s="437"/>
      <c r="R72" s="437"/>
      <c r="S72" s="132"/>
    </row>
    <row r="73" spans="1:23" ht="12.75" customHeight="1" x14ac:dyDescent="0.2">
      <c r="A73" s="132"/>
      <c r="B73" s="12" t="s">
        <v>331</v>
      </c>
      <c r="C73" s="12"/>
      <c r="D73" s="50" t="s">
        <v>332</v>
      </c>
      <c r="E73" s="50"/>
      <c r="F73" s="190"/>
      <c r="G73" s="439"/>
      <c r="H73" s="134">
        <f>IF($O$9="",F73,IF($U$9=0,"ERRO",IF($U$9="O ano não está correto para o intervalo","ERRO",IF($O$9=2018,F73,ROUND((F73/$U$9)*3.2939,2)))))</f>
        <v>0</v>
      </c>
      <c r="I73" s="132"/>
      <c r="J73" s="132"/>
      <c r="K73" s="132"/>
      <c r="L73" s="132"/>
      <c r="M73" s="132"/>
      <c r="N73" s="132"/>
      <c r="O73" s="132"/>
      <c r="P73" s="132"/>
      <c r="Q73" s="132"/>
      <c r="R73" s="132"/>
      <c r="S73" s="132"/>
    </row>
    <row r="74" spans="1:23" ht="6.75" customHeight="1" x14ac:dyDescent="0.2">
      <c r="A74" s="132"/>
      <c r="B74" s="12"/>
      <c r="C74" s="12"/>
      <c r="D74" s="50"/>
      <c r="E74" s="50"/>
      <c r="F74" s="330"/>
      <c r="G74" s="439"/>
      <c r="H74" s="134"/>
      <c r="I74" s="132"/>
      <c r="J74" s="132"/>
      <c r="K74" s="132"/>
      <c r="L74" s="132"/>
      <c r="M74" s="132"/>
      <c r="N74" s="132"/>
      <c r="O74" s="132"/>
      <c r="P74" s="132"/>
      <c r="Q74" s="132"/>
      <c r="R74" s="132"/>
      <c r="S74" s="132"/>
    </row>
    <row r="75" spans="1:23" ht="12.75" customHeight="1" x14ac:dyDescent="0.2">
      <c r="A75" s="132"/>
      <c r="B75" s="12" t="s">
        <v>333</v>
      </c>
      <c r="C75" s="12"/>
      <c r="D75" s="50" t="s">
        <v>334</v>
      </c>
      <c r="E75" s="50"/>
      <c r="F75" s="190"/>
      <c r="G75" s="439"/>
      <c r="H75" s="134">
        <f>IF($O$9="",F75,IF($U$9=0,"ERRO",IF($U$9="O ano não está correto para o intervalo","ERRO",IF($O$9=2018,F75,ROUND((F75/$U$9)*3.2939,2)))))</f>
        <v>0</v>
      </c>
      <c r="I75" s="132"/>
      <c r="J75" s="132"/>
      <c r="K75" s="132"/>
      <c r="L75" s="132"/>
      <c r="M75" s="132"/>
      <c r="N75" s="132"/>
      <c r="O75" s="132"/>
      <c r="P75" s="132"/>
      <c r="Q75" s="132"/>
      <c r="R75" s="132"/>
      <c r="S75" s="132"/>
    </row>
    <row r="76" spans="1:23" ht="12.75" customHeight="1" x14ac:dyDescent="0.2">
      <c r="A76" s="132"/>
      <c r="B76" s="12"/>
      <c r="C76" s="132"/>
      <c r="D76" s="166"/>
      <c r="E76" s="166"/>
      <c r="F76" s="187"/>
      <c r="G76" s="170"/>
      <c r="H76" s="134"/>
      <c r="I76" s="132"/>
      <c r="J76" s="132"/>
      <c r="K76" s="132"/>
      <c r="L76" s="132"/>
      <c r="M76" s="132"/>
      <c r="N76" s="132"/>
      <c r="O76" s="132"/>
      <c r="P76" s="132"/>
      <c r="Q76" s="132"/>
      <c r="R76" s="132"/>
      <c r="S76" s="132"/>
    </row>
    <row r="77" spans="1:23" x14ac:dyDescent="0.2">
      <c r="A77" s="132"/>
      <c r="B77" s="132"/>
      <c r="C77" s="132"/>
      <c r="D77" s="171" t="s">
        <v>335</v>
      </c>
      <c r="E77" s="171"/>
      <c r="F77" s="187">
        <f>SUM(F20:F75)</f>
        <v>0</v>
      </c>
      <c r="G77" s="170"/>
      <c r="H77" s="134"/>
      <c r="I77" s="132"/>
      <c r="J77" s="132"/>
      <c r="K77" s="132"/>
      <c r="L77" s="132"/>
      <c r="M77" s="132"/>
      <c r="N77" s="132"/>
      <c r="O77" s="132"/>
      <c r="P77" s="132"/>
      <c r="Q77" s="132"/>
      <c r="R77" s="132"/>
      <c r="S77" s="132"/>
      <c r="U77" s="175"/>
      <c r="V77" s="177"/>
      <c r="W77" s="178"/>
    </row>
    <row r="78" spans="1:23" x14ac:dyDescent="0.2">
      <c r="A78" s="132"/>
      <c r="B78" s="132"/>
      <c r="C78" s="132"/>
      <c r="D78" s="171"/>
      <c r="E78" s="171"/>
      <c r="F78" s="187"/>
      <c r="G78" s="170"/>
      <c r="H78" s="134"/>
      <c r="I78" s="132"/>
      <c r="J78" s="132"/>
      <c r="K78" s="132"/>
      <c r="L78" s="132"/>
      <c r="M78" s="132"/>
      <c r="N78" s="132"/>
      <c r="O78" s="132"/>
      <c r="P78" s="132"/>
      <c r="Q78" s="132"/>
      <c r="R78" s="132"/>
      <c r="S78" s="132"/>
      <c r="V78" s="175"/>
    </row>
    <row r="79" spans="1:23" x14ac:dyDescent="0.2">
      <c r="A79" s="132"/>
      <c r="B79" s="132"/>
      <c r="C79" s="132"/>
      <c r="D79" s="171"/>
      <c r="E79" s="171"/>
      <c r="F79" s="171" t="s">
        <v>290</v>
      </c>
      <c r="G79" s="550"/>
      <c r="H79" s="550"/>
      <c r="I79" s="550"/>
      <c r="J79" s="180" t="s">
        <v>291</v>
      </c>
      <c r="K79" s="110"/>
      <c r="L79" s="181" t="s">
        <v>292</v>
      </c>
      <c r="M79" s="182"/>
      <c r="N79" s="181" t="s">
        <v>292</v>
      </c>
      <c r="O79" s="182"/>
      <c r="P79" s="183"/>
      <c r="Q79" s="171" t="s">
        <v>293</v>
      </c>
      <c r="R79" s="184"/>
      <c r="S79" s="132"/>
      <c r="U79" s="99">
        <f>IF(O79=0,0,IF(O79=1999,0.977,IF(O79=2000,1.0641,IF(O79=2001,1.1283,IF(O79=2002,1.213,IF(O79=2003,1.3584,IF(O79=2004,1.4924,IF(O79=2005,1.6049,V79))))))))</f>
        <v>0</v>
      </c>
      <c r="V79" s="5" t="str">
        <f>IF(O79=2006,1.6992,IF(O79=2007,1.7495,IF(O79=2008,1.8258,IF(O79=2009,1.9372,IF(O79=2010,2.0183,IF(O79=2011,2.1352,IF(O79=2012,2.2752,IF(O79=2013,2.4066,W79))))))))</f>
        <v>O ano não está correto para o intervalo</v>
      </c>
      <c r="W79" s="178" t="str">
        <f>IF(O79=2014,2.5473,IF(O79=2015,2.7119,IF(O79=2016,3.0023,IF(O79=2017,3.1999,IF(79=2018,1,"O ano não está correto para o intervalo")))))</f>
        <v>O ano não está correto para o intervalo</v>
      </c>
    </row>
    <row r="80" spans="1:23" ht="6.75" customHeight="1" x14ac:dyDescent="0.2">
      <c r="A80" s="132"/>
      <c r="B80" s="132"/>
      <c r="C80" s="132"/>
      <c r="D80" s="171"/>
      <c r="E80" s="171"/>
      <c r="F80" s="132"/>
      <c r="G80" s="132"/>
      <c r="H80" s="171"/>
      <c r="I80" s="438"/>
      <c r="J80" s="438"/>
      <c r="K80" s="438"/>
      <c r="L80" s="438"/>
      <c r="M80" s="438"/>
      <c r="N80" s="438"/>
      <c r="O80" s="438"/>
      <c r="P80" s="438"/>
      <c r="Q80" s="132"/>
      <c r="R80" s="132"/>
      <c r="S80" s="132"/>
      <c r="V80" s="175" t="s">
        <v>294</v>
      </c>
      <c r="W80" s="175" t="s">
        <v>295</v>
      </c>
    </row>
    <row r="81" spans="1:23" x14ac:dyDescent="0.2">
      <c r="A81" s="132"/>
      <c r="B81" s="132"/>
      <c r="C81" s="132"/>
      <c r="D81" s="171"/>
      <c r="E81" s="171"/>
      <c r="F81" s="551" t="s">
        <v>336</v>
      </c>
      <c r="G81" s="551"/>
      <c r="H81" s="551"/>
      <c r="I81" s="551"/>
      <c r="J81" s="551"/>
      <c r="K81" s="20"/>
      <c r="L81" s="438"/>
      <c r="M81" s="512" t="str">
        <f>IF(T81&gt;1,"Escolher uma opção","")</f>
        <v/>
      </c>
      <c r="N81" s="512"/>
      <c r="O81" s="512"/>
      <c r="P81" s="512"/>
      <c r="Q81" s="512"/>
      <c r="R81" s="512"/>
      <c r="S81" s="132"/>
      <c r="T81" s="138">
        <f>COUNTA(K81,K83,K84)</f>
        <v>0</v>
      </c>
      <c r="U81" s="175">
        <f>H86*0.05</f>
        <v>0</v>
      </c>
      <c r="V81" s="175">
        <f>IF($T$81&gt;1,0,IF(K81="",0,$U$81))</f>
        <v>0</v>
      </c>
      <c r="W81" s="175">
        <f>V81</f>
        <v>0</v>
      </c>
    </row>
    <row r="82" spans="1:23" ht="6.75" customHeight="1" x14ac:dyDescent="0.2">
      <c r="A82" s="132"/>
      <c r="B82" s="132"/>
      <c r="C82" s="132"/>
      <c r="D82" s="171"/>
      <c r="E82" s="171"/>
      <c r="F82" s="187"/>
      <c r="G82" s="187"/>
      <c r="H82" s="187"/>
      <c r="I82" s="187"/>
      <c r="J82" s="187"/>
      <c r="K82" s="7"/>
      <c r="L82" s="438"/>
      <c r="M82" s="437"/>
      <c r="N82" s="437"/>
      <c r="O82" s="437"/>
      <c r="P82" s="437"/>
      <c r="Q82" s="437"/>
      <c r="R82" s="437"/>
      <c r="S82" s="132"/>
      <c r="T82" s="138"/>
      <c r="U82" s="175"/>
      <c r="V82" s="175"/>
      <c r="W82" s="175"/>
    </row>
    <row r="83" spans="1:23" x14ac:dyDescent="0.2">
      <c r="A83" s="132"/>
      <c r="B83" s="132"/>
      <c r="C83" s="132"/>
      <c r="D83" s="171"/>
      <c r="E83" s="171"/>
      <c r="F83" s="551" t="s">
        <v>298</v>
      </c>
      <c r="G83" s="551"/>
      <c r="H83" s="551"/>
      <c r="I83" s="551"/>
      <c r="J83" s="551"/>
      <c r="K83" s="20"/>
      <c r="L83" s="438"/>
      <c r="M83" s="437"/>
      <c r="N83" s="437"/>
      <c r="O83" s="437"/>
      <c r="P83" s="437"/>
      <c r="Q83" s="437"/>
      <c r="R83" s="437"/>
      <c r="S83" s="132"/>
      <c r="T83" s="138"/>
      <c r="U83" s="175"/>
      <c r="V83" s="175"/>
      <c r="W83" s="175">
        <f>IF($T$81&gt;1,0,IF(K83="",0,$U$81))</f>
        <v>0</v>
      </c>
    </row>
    <row r="84" spans="1:23" ht="6.75" customHeight="1" x14ac:dyDescent="0.2">
      <c r="A84" s="132"/>
      <c r="B84" s="132"/>
      <c r="C84" s="132"/>
      <c r="D84" s="171"/>
      <c r="E84" s="171"/>
      <c r="F84" s="551"/>
      <c r="G84" s="551"/>
      <c r="H84" s="551"/>
      <c r="I84" s="551"/>
      <c r="J84" s="551"/>
      <c r="K84" s="7"/>
      <c r="L84" s="438"/>
      <c r="M84" s="438"/>
      <c r="N84" s="438"/>
      <c r="O84" s="438"/>
      <c r="P84" s="438"/>
      <c r="Q84" s="132"/>
      <c r="R84" s="132"/>
      <c r="S84" s="132"/>
      <c r="U84" s="189" t="s">
        <v>303</v>
      </c>
      <c r="V84" s="189">
        <f>SUM(V81:V83)</f>
        <v>0</v>
      </c>
      <c r="W84" s="189">
        <f>SUM(W81:W83)</f>
        <v>0</v>
      </c>
    </row>
    <row r="85" spans="1:23" ht="38.25" x14ac:dyDescent="0.2">
      <c r="A85" s="132"/>
      <c r="B85" s="188" t="s">
        <v>299</v>
      </c>
      <c r="C85" s="188"/>
      <c r="D85" s="188" t="s">
        <v>300</v>
      </c>
      <c r="E85" s="188"/>
      <c r="F85" s="188" t="s">
        <v>301</v>
      </c>
      <c r="G85" s="188"/>
      <c r="H85" s="188" t="s">
        <v>302</v>
      </c>
      <c r="I85" s="132"/>
      <c r="J85" s="132"/>
      <c r="K85" s="132"/>
      <c r="L85" s="132"/>
      <c r="M85" s="132"/>
      <c r="N85" s="132"/>
      <c r="O85" s="132"/>
      <c r="P85" s="132"/>
      <c r="Q85" s="132"/>
      <c r="R85" s="132"/>
      <c r="S85" s="132"/>
      <c r="U85" s="175"/>
      <c r="V85" s="175"/>
      <c r="W85" s="178"/>
    </row>
    <row r="86" spans="1:23" x14ac:dyDescent="0.2">
      <c r="A86" s="132"/>
      <c r="B86" s="12" t="s">
        <v>337</v>
      </c>
      <c r="C86" s="12"/>
      <c r="D86" s="50" t="s">
        <v>338</v>
      </c>
      <c r="E86" s="132"/>
      <c r="F86" s="190"/>
      <c r="G86" s="132"/>
      <c r="H86" s="134">
        <f>IF($O$79="",F86,IF($U$79=0,"ERRO",IF($U$79="O ano não está correto para o intervalo","ERRO",IF($O$79=2018,F86,ROUND((F86/$U$79)*3.2939,2)))))</f>
        <v>0</v>
      </c>
      <c r="I86" s="132"/>
      <c r="J86" s="132"/>
      <c r="K86" s="132"/>
      <c r="L86" s="132"/>
      <c r="M86" s="132"/>
      <c r="N86" s="132"/>
      <c r="O86" s="132"/>
      <c r="P86" s="132"/>
      <c r="Q86" s="132"/>
      <c r="R86" s="132"/>
      <c r="S86" s="132"/>
    </row>
    <row r="87" spans="1:23" ht="6.75" customHeight="1" x14ac:dyDescent="0.2">
      <c r="A87" s="132"/>
      <c r="B87" s="132"/>
      <c r="C87" s="132"/>
      <c r="D87" s="132"/>
      <c r="E87" s="132"/>
      <c r="F87" s="166"/>
      <c r="G87" s="132"/>
      <c r="H87" s="134"/>
      <c r="I87" s="132"/>
      <c r="J87" s="132"/>
      <c r="K87" s="132"/>
      <c r="L87" s="132"/>
      <c r="M87" s="132"/>
      <c r="N87" s="132"/>
      <c r="O87" s="132"/>
      <c r="P87" s="132"/>
      <c r="Q87" s="132"/>
      <c r="R87" s="132"/>
      <c r="S87" s="132"/>
    </row>
    <row r="88" spans="1:23" ht="12.75" customHeight="1" x14ac:dyDescent="0.2">
      <c r="A88" s="132"/>
      <c r="B88" s="166" t="s">
        <v>307</v>
      </c>
      <c r="C88" s="132"/>
      <c r="D88" s="166" t="s">
        <v>339</v>
      </c>
      <c r="E88" s="132"/>
      <c r="F88" s="190"/>
      <c r="G88" s="132"/>
      <c r="H88" s="134">
        <f>IF($O$79="",F88,IF($U$79=0,"ERRO",IF($U$79="O ano não está correto para o intervalo","ERRO",IF($O$79=2018,F88,ROUND((F88/$U$79)*3.2939,2)))))</f>
        <v>0</v>
      </c>
      <c r="I88" s="132"/>
      <c r="J88" s="132"/>
      <c r="K88" s="132"/>
      <c r="L88" s="132"/>
      <c r="M88" s="132"/>
      <c r="N88" s="132"/>
      <c r="O88" s="132"/>
      <c r="P88" s="132"/>
      <c r="Q88" s="132"/>
      <c r="R88" s="132"/>
      <c r="S88" s="132"/>
    </row>
    <row r="89" spans="1:23" ht="6.75" customHeight="1" x14ac:dyDescent="0.2">
      <c r="A89" s="132"/>
      <c r="B89" s="132"/>
      <c r="C89" s="132"/>
      <c r="D89" s="132"/>
      <c r="E89" s="132"/>
      <c r="F89" s="166"/>
      <c r="G89" s="132"/>
      <c r="H89" s="134"/>
      <c r="I89" s="132"/>
      <c r="J89" s="132"/>
      <c r="K89" s="132"/>
      <c r="L89" s="132"/>
      <c r="M89" s="132"/>
      <c r="N89" s="132"/>
      <c r="O89" s="132"/>
      <c r="P89" s="132"/>
      <c r="Q89" s="132"/>
      <c r="R89" s="132"/>
      <c r="S89" s="132"/>
    </row>
    <row r="90" spans="1:23" x14ac:dyDescent="0.2">
      <c r="A90" s="132"/>
      <c r="B90" s="12" t="s">
        <v>317</v>
      </c>
      <c r="C90" s="132"/>
      <c r="D90" s="50" t="s">
        <v>318</v>
      </c>
      <c r="E90" s="132"/>
      <c r="F90" s="190"/>
      <c r="G90" s="132"/>
      <c r="H90" s="134">
        <f>IF($O$79="",F90,IF($U$79=0,"ERRO",IF($U$79="O ano não está correto para o intervalo","ERRO",IF($O$79=2018,F90,ROUND((F90/$U$79)*3.2939,2)))))</f>
        <v>0</v>
      </c>
      <c r="I90" s="132"/>
      <c r="J90" s="132"/>
      <c r="K90" s="132"/>
      <c r="L90" s="132"/>
      <c r="M90" s="132"/>
      <c r="N90" s="132"/>
      <c r="O90" s="132"/>
      <c r="P90" s="132"/>
      <c r="Q90" s="132"/>
      <c r="R90" s="132"/>
      <c r="S90" s="132"/>
    </row>
    <row r="91" spans="1:23" ht="6.75" customHeight="1" x14ac:dyDescent="0.2">
      <c r="A91" s="132"/>
      <c r="B91" s="132"/>
      <c r="C91" s="132"/>
      <c r="D91" s="132"/>
      <c r="E91" s="132"/>
      <c r="F91" s="187"/>
      <c r="G91" s="132"/>
      <c r="H91" s="134"/>
      <c r="I91" s="132"/>
      <c r="J91" s="132"/>
      <c r="K91" s="132"/>
      <c r="L91" s="132"/>
      <c r="M91" s="132"/>
      <c r="N91" s="132"/>
      <c r="O91" s="132"/>
      <c r="P91" s="132"/>
      <c r="Q91" s="132"/>
      <c r="R91" s="132"/>
      <c r="S91" s="132"/>
    </row>
    <row r="92" spans="1:23" x14ac:dyDescent="0.2">
      <c r="A92" s="132"/>
      <c r="B92" s="12" t="s">
        <v>325</v>
      </c>
      <c r="C92" s="132"/>
      <c r="D92" s="50" t="s">
        <v>326</v>
      </c>
      <c r="E92" s="132"/>
      <c r="F92" s="190"/>
      <c r="G92" s="132"/>
      <c r="H92" s="134">
        <f>IF($O$79="",F92,IF($U$79=0,"ERRO",IF($U$79="O ano não está correto para o intervalo","ERRO",IF($O$79=2018,F92,ROUND((F92/$U$79)*3.2939,2)))))</f>
        <v>0</v>
      </c>
      <c r="I92" s="132"/>
      <c r="J92" s="132"/>
      <c r="K92" s="132"/>
      <c r="L92" s="132"/>
      <c r="M92" s="132"/>
      <c r="N92" s="132"/>
      <c r="O92" s="132"/>
      <c r="P92" s="132"/>
      <c r="Q92" s="132"/>
      <c r="R92" s="132"/>
      <c r="S92" s="132"/>
    </row>
    <row r="93" spans="1:23" ht="6.75" customHeight="1" x14ac:dyDescent="0.2">
      <c r="A93" s="132"/>
      <c r="B93" s="12"/>
      <c r="C93" s="50"/>
      <c r="D93" s="132"/>
      <c r="E93" s="132"/>
      <c r="F93" s="187"/>
      <c r="G93" s="132"/>
      <c r="H93" s="134"/>
      <c r="I93" s="132"/>
      <c r="J93" s="132"/>
      <c r="K93" s="132"/>
      <c r="L93" s="132"/>
      <c r="M93" s="132"/>
      <c r="N93" s="132"/>
      <c r="O93" s="132"/>
      <c r="P93" s="132"/>
      <c r="Q93" s="132"/>
      <c r="R93" s="132"/>
      <c r="S93" s="132"/>
    </row>
    <row r="94" spans="1:23" x14ac:dyDescent="0.2">
      <c r="A94" s="132"/>
      <c r="B94" s="12" t="s">
        <v>327</v>
      </c>
      <c r="C94" s="132"/>
      <c r="D94" s="50" t="s">
        <v>328</v>
      </c>
      <c r="E94" s="132"/>
      <c r="F94" s="190"/>
      <c r="G94" s="132"/>
      <c r="H94" s="134">
        <f>IF($O$79="",F94,IF($U$79=0,"ERRO",IF($U$79="O ano não está correto para o intervalo","ERRO",IF($O$79=2018,F94,ROUND((F94/$U$79)*3.2939,2)))))</f>
        <v>0</v>
      </c>
      <c r="I94" s="132"/>
      <c r="J94" s="132"/>
      <c r="K94" s="132"/>
      <c r="L94" s="132"/>
      <c r="M94" s="132"/>
      <c r="N94" s="132"/>
      <c r="O94" s="132"/>
      <c r="P94" s="132"/>
      <c r="Q94" s="132"/>
      <c r="R94" s="132"/>
      <c r="S94" s="132"/>
    </row>
    <row r="95" spans="1:23" x14ac:dyDescent="0.2">
      <c r="A95" s="132"/>
      <c r="B95" s="132"/>
      <c r="C95" s="132"/>
      <c r="D95" s="132"/>
      <c r="E95" s="132"/>
      <c r="F95" s="132"/>
      <c r="G95" s="132"/>
      <c r="H95" s="132"/>
      <c r="I95" s="132"/>
      <c r="J95" s="132"/>
      <c r="K95" s="132"/>
      <c r="L95" s="132"/>
      <c r="M95" s="132"/>
      <c r="N95" s="132"/>
      <c r="O95" s="132"/>
      <c r="P95" s="132"/>
      <c r="Q95" s="132"/>
      <c r="R95" s="132"/>
      <c r="S95" s="132"/>
    </row>
    <row r="96" spans="1:23" ht="5.25" customHeight="1" x14ac:dyDescent="0.2">
      <c r="A96" s="173"/>
      <c r="B96" s="138"/>
      <c r="C96" s="138"/>
      <c r="D96" s="138"/>
      <c r="T96" s="139"/>
      <c r="U96" s="139"/>
      <c r="V96" s="139"/>
      <c r="W96" s="139"/>
    </row>
    <row r="97" spans="1:23" x14ac:dyDescent="0.2">
      <c r="A97" s="173"/>
      <c r="B97" s="138"/>
      <c r="C97" s="138"/>
      <c r="D97" s="138"/>
      <c r="T97" s="139"/>
      <c r="U97" s="139"/>
      <c r="V97" s="139"/>
      <c r="W97" s="139"/>
    </row>
  </sheetData>
  <mergeCells count="21">
    <mergeCell ref="I40:R40"/>
    <mergeCell ref="I41:R41"/>
    <mergeCell ref="G79:I79"/>
    <mergeCell ref="F81:J81"/>
    <mergeCell ref="M81:R81"/>
    <mergeCell ref="F83:J83"/>
    <mergeCell ref="F84:J84"/>
    <mergeCell ref="I38:R38"/>
    <mergeCell ref="B3:R3"/>
    <mergeCell ref="B4:R4"/>
    <mergeCell ref="G7:I7"/>
    <mergeCell ref="G9:I9"/>
    <mergeCell ref="J11:R11"/>
    <mergeCell ref="F13:J13"/>
    <mergeCell ref="M13:R13"/>
    <mergeCell ref="F15:J15"/>
    <mergeCell ref="F17:J17"/>
    <mergeCell ref="I35:R35"/>
    <mergeCell ref="I36:R36"/>
    <mergeCell ref="I37:R37"/>
    <mergeCell ref="I39:R39"/>
  </mergeCells>
  <conditionalFormatting sqref="H20:H78 H86:H94">
    <cfRule type="cellIs" dxfId="52" priority="1" stopIfTrue="1" operator="equal">
      <formula>"ERRO"</formula>
    </cfRule>
    <cfRule type="cellIs" dxfId="51" priority="2" stopIfTrue="1" operator="equal">
      <formula>0</formula>
    </cfRule>
  </conditionalFormatting>
  <conditionalFormatting sqref="W79 W85 J19 W9:W11">
    <cfRule type="cellIs" dxfId="50" priority="3" stopIfTrue="1" operator="equal">
      <formula>0</formula>
    </cfRule>
    <cfRule type="cellIs" dxfId="49" priority="4" stopIfTrue="1" operator="equal">
      <formula>"O ano não está correto para o intervalo"</formula>
    </cfRule>
  </conditionalFormatting>
  <conditionalFormatting sqref="F77:G78">
    <cfRule type="cellIs" dxfId="48" priority="5" stopIfTrue="1" operator="equal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77" firstPageNumber="0" orientation="landscape" horizontalDpi="300" verticalDpi="300" r:id="rId1"/>
  <headerFooter alignWithMargins="0">
    <oddHeader>&amp;L&amp;G&amp;CTRIBUNAL DE JUSTIÇA DO ESTADO DO RIO DE JANEIRO
CENTRAL DE ARQUIVAMENTO NUR1</oddHeader>
    <oddFooter>&amp;LFRM-CARQ-002-01&amp;CREV.: 00              Data: 20/04/2018&amp;R&amp;P</oddFooter>
  </headerFooter>
  <rowBreaks count="1" manualBreakCount="1">
    <brk id="51" max="18" man="1"/>
  </row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8"/>
  <sheetViews>
    <sheetView showGridLines="0" view="pageBreakPreview" topLeftCell="A79" zoomScale="115" zoomScaleNormal="100" zoomScaleSheetLayoutView="115" workbookViewId="0">
      <selection activeCell="I102" sqref="I102"/>
    </sheetView>
  </sheetViews>
  <sheetFormatPr defaultRowHeight="12.75" x14ac:dyDescent="0.2"/>
  <cols>
    <col min="1" max="1" width="3.85546875" style="139" customWidth="1"/>
    <col min="2" max="2" width="12.7109375" style="139" customWidth="1"/>
    <col min="3" max="3" width="1.28515625" style="139" customWidth="1"/>
    <col min="4" max="4" width="32.140625" style="139" customWidth="1"/>
    <col min="5" max="5" width="1.28515625" style="139" customWidth="1"/>
    <col min="6" max="6" width="14.140625" style="139" customWidth="1"/>
    <col min="7" max="7" width="1.28515625" style="139" customWidth="1"/>
    <col min="8" max="8" width="12.5703125" style="139" customWidth="1"/>
    <col min="9" max="9" width="10.7109375" style="139" customWidth="1"/>
    <col min="10" max="10" width="19.42578125" style="139" customWidth="1"/>
    <col min="11" max="11" width="3.7109375" style="139" customWidth="1"/>
    <col min="12" max="12" width="1.85546875" style="139" customWidth="1"/>
    <col min="13" max="13" width="3.85546875" style="139" customWidth="1"/>
    <col min="14" max="14" width="1.7109375" style="139" customWidth="1"/>
    <col min="15" max="15" width="5.7109375" style="139" customWidth="1"/>
    <col min="16" max="16" width="1.140625" style="139" customWidth="1"/>
    <col min="17" max="18" width="9.140625" style="139"/>
    <col min="19" max="19" width="2.85546875" style="139" customWidth="1"/>
    <col min="20" max="20" width="9.140625" style="173" hidden="1" customWidth="1"/>
    <col min="21" max="23" width="9.140625" style="138" hidden="1" customWidth="1"/>
    <col min="24" max="24" width="9.140625" style="139" hidden="1" customWidth="1"/>
    <col min="25" max="27" width="9.140625" style="139" customWidth="1"/>
    <col min="28" max="16384" width="9.140625" style="139"/>
  </cols>
  <sheetData>
    <row r="1" spans="1:23" x14ac:dyDescent="0.2">
      <c r="A1" s="132"/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74"/>
      <c r="U1" s="175"/>
      <c r="V1" s="175"/>
      <c r="W1" s="175"/>
    </row>
    <row r="2" spans="1:23" ht="3" customHeight="1" x14ac:dyDescent="0.2">
      <c r="A2" s="132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32"/>
    </row>
    <row r="3" spans="1:23" ht="22.5" x14ac:dyDescent="0.45">
      <c r="A3" s="132"/>
      <c r="B3" s="535" t="s">
        <v>289</v>
      </c>
      <c r="C3" s="535"/>
      <c r="D3" s="535"/>
      <c r="E3" s="535"/>
      <c r="F3" s="535"/>
      <c r="G3" s="535"/>
      <c r="H3" s="535"/>
      <c r="I3" s="535"/>
      <c r="J3" s="535"/>
      <c r="K3" s="535"/>
      <c r="L3" s="535"/>
      <c r="M3" s="535"/>
      <c r="N3" s="535"/>
      <c r="O3" s="535"/>
      <c r="P3" s="535"/>
      <c r="Q3" s="535"/>
      <c r="R3" s="535"/>
      <c r="S3" s="132"/>
      <c r="U3" s="175"/>
    </row>
    <row r="4" spans="1:23" ht="15.75" x14ac:dyDescent="0.25">
      <c r="A4" s="132"/>
      <c r="B4" s="543" t="s">
        <v>373</v>
      </c>
      <c r="C4" s="543"/>
      <c r="D4" s="543"/>
      <c r="E4" s="543"/>
      <c r="F4" s="543"/>
      <c r="G4" s="543"/>
      <c r="H4" s="543"/>
      <c r="I4" s="543"/>
      <c r="J4" s="543"/>
      <c r="K4" s="543"/>
      <c r="L4" s="543"/>
      <c r="M4" s="543"/>
      <c r="N4" s="543"/>
      <c r="O4" s="543"/>
      <c r="P4" s="543"/>
      <c r="Q4" s="543"/>
      <c r="R4" s="543"/>
      <c r="S4" s="132"/>
    </row>
    <row r="5" spans="1:23" ht="3" customHeight="1" x14ac:dyDescent="0.2">
      <c r="A5" s="132"/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32"/>
    </row>
    <row r="6" spans="1:23" x14ac:dyDescent="0.2">
      <c r="A6" s="132"/>
      <c r="B6" s="132"/>
      <c r="C6" s="132"/>
      <c r="D6" s="132"/>
      <c r="E6" s="132"/>
      <c r="F6" s="157"/>
      <c r="G6" s="157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</row>
    <row r="7" spans="1:23" x14ac:dyDescent="0.2">
      <c r="A7" s="132"/>
      <c r="B7" s="132"/>
      <c r="C7" s="132"/>
      <c r="D7" s="132"/>
      <c r="E7" s="132"/>
      <c r="F7" s="171" t="s">
        <v>4</v>
      </c>
      <c r="G7" s="549" t="str">
        <f>IF('Atos Serv. Jud. Lei. 6369'!H7="","",'Atos Serv. Jud. Lei. 6369'!H7)</f>
        <v/>
      </c>
      <c r="H7" s="549"/>
      <c r="I7" s="549"/>
      <c r="J7" s="176"/>
      <c r="K7" s="176"/>
      <c r="L7" s="176"/>
      <c r="M7" s="176"/>
      <c r="N7" s="176"/>
      <c r="O7" s="176"/>
      <c r="P7" s="176"/>
      <c r="Q7" s="132"/>
      <c r="R7" s="132"/>
      <c r="S7" s="132"/>
      <c r="U7" s="175"/>
      <c r="V7" s="177"/>
      <c r="W7" s="178"/>
    </row>
    <row r="8" spans="1:23" ht="6.75" customHeight="1" x14ac:dyDescent="0.2">
      <c r="A8" s="132"/>
      <c r="B8" s="132"/>
      <c r="C8" s="132"/>
      <c r="D8" s="132"/>
      <c r="E8" s="132"/>
      <c r="F8" s="179"/>
      <c r="G8" s="157"/>
      <c r="H8" s="132"/>
      <c r="I8" s="157"/>
      <c r="J8" s="157"/>
      <c r="K8" s="157"/>
      <c r="L8" s="157"/>
      <c r="M8" s="157"/>
      <c r="N8" s="157"/>
      <c r="O8" s="157"/>
      <c r="P8" s="157"/>
      <c r="Q8" s="132"/>
      <c r="R8" s="132"/>
      <c r="S8" s="132"/>
      <c r="V8" s="175"/>
    </row>
    <row r="9" spans="1:23" x14ac:dyDescent="0.2">
      <c r="A9" s="132"/>
      <c r="B9" s="132"/>
      <c r="C9" s="132"/>
      <c r="D9" s="132"/>
      <c r="E9" s="132"/>
      <c r="F9" s="171" t="s">
        <v>290</v>
      </c>
      <c r="G9" s="550"/>
      <c r="H9" s="550"/>
      <c r="I9" s="550"/>
      <c r="J9" s="180" t="s">
        <v>291</v>
      </c>
      <c r="K9" s="110"/>
      <c r="L9" s="181" t="s">
        <v>292</v>
      </c>
      <c r="M9" s="182"/>
      <c r="N9" s="181" t="s">
        <v>292</v>
      </c>
      <c r="O9" s="182"/>
      <c r="P9" s="183"/>
      <c r="Q9" s="171" t="s">
        <v>293</v>
      </c>
      <c r="R9" s="184"/>
      <c r="S9" s="132"/>
      <c r="U9" s="99">
        <f>IF(O9=0,0,IF(O9=1999,0.977,IF(O9=2000,1.0641,IF(O9=2001,1.1283,IF(O9=2002,1.213,IF(O9=2003,1.3584,IF(O9=2004,1.4924,IF(O9=2005,1.6049,V9))))))))</f>
        <v>0</v>
      </c>
      <c r="V9" s="5" t="str">
        <f>IF(O9=2006,1.6992,IF(O9=2007,1.7495,IF(O9=2008,1.8258,IF(O9=2009,1.9372,IF(O9=2010,2.0183,IF(O9=2011,2.1352,IF(O9=2012,2.2752,IF(O9=2013,2.4066,W9))))))))</f>
        <v>O ano não está correto para o intervalo</v>
      </c>
      <c r="W9" s="178" t="str">
        <f>IF(O9=2014,2.5473,IF(O9=2015,2.7119,IF(O9=2016,3.0023,IF(O9=2017,3.1999,IF(O9=2018,1,"O ano não está correto para o intervalo")))))</f>
        <v>O ano não está correto para o intervalo</v>
      </c>
    </row>
    <row r="10" spans="1:23" ht="6.75" customHeight="1" x14ac:dyDescent="0.2">
      <c r="A10" s="132"/>
      <c r="B10" s="132"/>
      <c r="C10" s="132"/>
      <c r="D10" s="132"/>
      <c r="E10" s="132"/>
      <c r="F10" s="171"/>
      <c r="G10" s="185"/>
      <c r="H10" s="185"/>
      <c r="I10" s="185"/>
      <c r="J10" s="180"/>
      <c r="K10" s="186"/>
      <c r="L10" s="181"/>
      <c r="M10" s="183"/>
      <c r="N10" s="181"/>
      <c r="O10" s="183"/>
      <c r="P10" s="183"/>
      <c r="Q10" s="171"/>
      <c r="R10" s="132"/>
      <c r="S10" s="132"/>
      <c r="U10" s="175"/>
      <c r="V10" s="175"/>
      <c r="W10" s="178"/>
    </row>
    <row r="11" spans="1:23" x14ac:dyDescent="0.2">
      <c r="A11" s="132"/>
      <c r="B11" s="132"/>
      <c r="C11" s="132"/>
      <c r="D11" s="132"/>
      <c r="E11" s="132"/>
      <c r="F11" s="171"/>
      <c r="G11" s="185"/>
      <c r="H11" s="185"/>
      <c r="I11" s="185"/>
      <c r="J11" s="547" t="str">
        <f>IF(U9="O ano não está correto para o intervalo","O ano não está correto para o intervalo","")</f>
        <v/>
      </c>
      <c r="K11" s="547"/>
      <c r="L11" s="547"/>
      <c r="M11" s="547"/>
      <c r="N11" s="547"/>
      <c r="O11" s="547"/>
      <c r="P11" s="547"/>
      <c r="Q11" s="547"/>
      <c r="R11" s="547"/>
      <c r="S11" s="132"/>
      <c r="U11" s="175"/>
      <c r="V11" s="175"/>
      <c r="W11" s="178"/>
    </row>
    <row r="12" spans="1:23" ht="6.75" customHeight="1" x14ac:dyDescent="0.2">
      <c r="A12" s="132"/>
      <c r="B12" s="132"/>
      <c r="C12" s="132"/>
      <c r="D12" s="132"/>
      <c r="E12" s="132"/>
      <c r="F12" s="132"/>
      <c r="G12" s="132"/>
      <c r="H12" s="171"/>
      <c r="I12" s="438"/>
      <c r="J12" s="438"/>
      <c r="K12" s="438"/>
      <c r="L12" s="438"/>
      <c r="M12" s="438"/>
      <c r="N12" s="438"/>
      <c r="O12" s="438"/>
      <c r="P12" s="438"/>
      <c r="Q12" s="132"/>
      <c r="R12" s="132"/>
      <c r="S12" s="132"/>
      <c r="V12" s="175" t="s">
        <v>294</v>
      </c>
      <c r="W12" s="175" t="s">
        <v>295</v>
      </c>
    </row>
    <row r="13" spans="1:23" ht="12.75" customHeight="1" x14ac:dyDescent="0.2">
      <c r="A13" s="132"/>
      <c r="B13" s="132"/>
      <c r="C13" s="132"/>
      <c r="D13" s="132"/>
      <c r="E13" s="132"/>
      <c r="F13" s="551" t="s">
        <v>296</v>
      </c>
      <c r="G13" s="551"/>
      <c r="H13" s="551"/>
      <c r="I13" s="551"/>
      <c r="J13" s="551"/>
      <c r="K13" s="20"/>
      <c r="L13" s="438"/>
      <c r="M13" s="512" t="str">
        <f>IF(T13&gt;1,"Escolher uma opção","")</f>
        <v/>
      </c>
      <c r="N13" s="512"/>
      <c r="O13" s="512"/>
      <c r="P13" s="512"/>
      <c r="Q13" s="512"/>
      <c r="R13" s="512"/>
      <c r="S13" s="132"/>
      <c r="T13" s="138">
        <f>COUNTA(K13,K15,K17)</f>
        <v>0</v>
      </c>
      <c r="U13" s="175">
        <f>(H20+H24+H26+H28+H30+H32+H35+H37+H41)*0.05</f>
        <v>0</v>
      </c>
      <c r="V13" s="175">
        <f>IF($T$13&gt;1,0,IF(K13="",0,$U$13))</f>
        <v>0</v>
      </c>
      <c r="W13" s="175">
        <f>V13</f>
        <v>0</v>
      </c>
    </row>
    <row r="14" spans="1:23" ht="6.75" customHeight="1" x14ac:dyDescent="0.2">
      <c r="A14" s="132"/>
      <c r="B14" s="132"/>
      <c r="C14" s="132"/>
      <c r="D14" s="132"/>
      <c r="E14" s="132"/>
      <c r="F14" s="187"/>
      <c r="G14" s="187"/>
      <c r="H14" s="187"/>
      <c r="I14" s="187"/>
      <c r="J14" s="187"/>
      <c r="K14" s="7"/>
      <c r="L14" s="438"/>
      <c r="M14" s="437"/>
      <c r="N14" s="437"/>
      <c r="O14" s="437"/>
      <c r="P14" s="437"/>
      <c r="Q14" s="437"/>
      <c r="R14" s="437"/>
      <c r="S14" s="132"/>
      <c r="T14" s="138"/>
      <c r="U14" s="175"/>
      <c r="V14" s="175"/>
      <c r="W14" s="175"/>
    </row>
    <row r="15" spans="1:23" ht="12.75" customHeight="1" x14ac:dyDescent="0.2">
      <c r="A15" s="132"/>
      <c r="B15" s="132"/>
      <c r="C15" s="132"/>
      <c r="D15" s="132"/>
      <c r="E15" s="132"/>
      <c r="F15" s="551" t="s">
        <v>297</v>
      </c>
      <c r="G15" s="551"/>
      <c r="H15" s="551"/>
      <c r="I15" s="551"/>
      <c r="J15" s="551"/>
      <c r="K15" s="20"/>
      <c r="L15" s="438"/>
      <c r="M15" s="437"/>
      <c r="N15" s="437"/>
      <c r="O15" s="437"/>
      <c r="P15" s="437"/>
      <c r="Q15" s="437"/>
      <c r="R15" s="437"/>
      <c r="S15" s="132"/>
      <c r="T15" s="138"/>
      <c r="U15" s="175"/>
      <c r="V15" s="175">
        <f>IF(T13&gt;1,0,IF(K15="",0,$U$13-$U$17))</f>
        <v>0</v>
      </c>
      <c r="W15" s="175">
        <f>IF($T$13&gt;1,0,IF(K15="",0,$U$13))</f>
        <v>0</v>
      </c>
    </row>
    <row r="16" spans="1:23" ht="6.75" customHeight="1" x14ac:dyDescent="0.2">
      <c r="A16" s="132"/>
      <c r="B16" s="132"/>
      <c r="C16" s="132"/>
      <c r="D16" s="132"/>
      <c r="E16" s="132"/>
      <c r="F16" s="132"/>
      <c r="G16" s="132"/>
      <c r="H16" s="171"/>
      <c r="I16" s="438"/>
      <c r="J16" s="438"/>
      <c r="K16" s="7"/>
      <c r="L16" s="438"/>
      <c r="M16" s="438"/>
      <c r="N16" s="438"/>
      <c r="O16" s="438"/>
      <c r="P16" s="438"/>
      <c r="Q16" s="132"/>
      <c r="R16" s="132"/>
      <c r="S16" s="132"/>
      <c r="U16" s="175"/>
      <c r="V16" s="175"/>
      <c r="W16" s="175"/>
    </row>
    <row r="17" spans="1:23" ht="12.75" customHeight="1" x14ac:dyDescent="0.2">
      <c r="A17" s="132"/>
      <c r="B17" s="132"/>
      <c r="C17" s="132"/>
      <c r="D17" s="132"/>
      <c r="E17" s="132"/>
      <c r="F17" s="551" t="s">
        <v>298</v>
      </c>
      <c r="G17" s="551"/>
      <c r="H17" s="551"/>
      <c r="I17" s="551"/>
      <c r="J17" s="551"/>
      <c r="K17" s="20"/>
      <c r="L17" s="438"/>
      <c r="M17" s="438"/>
      <c r="N17" s="438"/>
      <c r="O17" s="438"/>
      <c r="P17" s="438"/>
      <c r="Q17" s="132"/>
      <c r="R17" s="132"/>
      <c r="S17" s="132"/>
      <c r="U17" s="175">
        <f>(H20+H24+H26+H28+H30+H32+H35+H37)*0.05</f>
        <v>0</v>
      </c>
      <c r="V17" s="175">
        <f>IF(T13&gt;1,0,IF(K17="",0,$U$13-$U$17))</f>
        <v>0</v>
      </c>
      <c r="W17" s="175"/>
    </row>
    <row r="18" spans="1:23" ht="6.75" customHeight="1" x14ac:dyDescent="0.2">
      <c r="A18" s="132"/>
      <c r="B18" s="132"/>
      <c r="C18" s="132"/>
      <c r="D18" s="132"/>
      <c r="E18" s="132"/>
      <c r="F18" s="132"/>
      <c r="G18" s="132"/>
      <c r="H18" s="171"/>
      <c r="I18" s="438"/>
      <c r="J18" s="438"/>
      <c r="K18" s="438"/>
      <c r="L18" s="438"/>
      <c r="M18" s="438"/>
      <c r="N18" s="438"/>
      <c r="O18" s="438"/>
      <c r="P18" s="438"/>
      <c r="Q18" s="132"/>
      <c r="R18" s="132"/>
      <c r="S18" s="132"/>
    </row>
    <row r="19" spans="1:23" ht="38.25" x14ac:dyDescent="0.2">
      <c r="A19" s="132"/>
      <c r="B19" s="188" t="s">
        <v>299</v>
      </c>
      <c r="C19" s="188"/>
      <c r="D19" s="188" t="s">
        <v>300</v>
      </c>
      <c r="E19" s="188"/>
      <c r="F19" s="188" t="s">
        <v>301</v>
      </c>
      <c r="G19" s="188"/>
      <c r="H19" s="188" t="s">
        <v>302</v>
      </c>
      <c r="I19" s="132"/>
      <c r="J19" s="158"/>
      <c r="K19" s="132"/>
      <c r="L19" s="132"/>
      <c r="M19" s="132"/>
      <c r="N19" s="132"/>
      <c r="O19" s="132"/>
      <c r="P19" s="132"/>
      <c r="Q19" s="132"/>
      <c r="R19" s="132"/>
      <c r="S19" s="132"/>
      <c r="U19" s="189" t="s">
        <v>303</v>
      </c>
      <c r="V19" s="189">
        <f>SUM(V13:V17)</f>
        <v>0</v>
      </c>
      <c r="W19" s="189">
        <f>SUM(W13:W17)</f>
        <v>0</v>
      </c>
    </row>
    <row r="20" spans="1:23" x14ac:dyDescent="0.2">
      <c r="A20" s="132"/>
      <c r="B20" s="12" t="s">
        <v>304</v>
      </c>
      <c r="C20" s="12"/>
      <c r="D20" s="50" t="s">
        <v>305</v>
      </c>
      <c r="E20" s="50"/>
      <c r="F20" s="190"/>
      <c r="G20" s="439"/>
      <c r="H20" s="134">
        <f>IF($O$9="",F20,IF($U$9=0,"ERRO",IF($U$9="O ano não está correto para o intervalo","ERRO",IF($O$9=2018,F20,ROUND((F20/$U$9)*3.2939,2)))))</f>
        <v>0</v>
      </c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132"/>
    </row>
    <row r="21" spans="1:23" ht="6.75" customHeight="1" x14ac:dyDescent="0.2">
      <c r="A21" s="132"/>
      <c r="B21" s="12"/>
      <c r="C21" s="12"/>
      <c r="D21" s="50"/>
      <c r="E21" s="50"/>
      <c r="F21" s="439"/>
      <c r="G21" s="439"/>
      <c r="H21" s="134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</row>
    <row r="22" spans="1:23" x14ac:dyDescent="0.2">
      <c r="A22" s="132"/>
      <c r="B22" s="12"/>
      <c r="C22" s="12"/>
      <c r="D22" s="50" t="s">
        <v>306</v>
      </c>
      <c r="E22" s="50"/>
      <c r="F22" s="190"/>
      <c r="G22" s="439"/>
      <c r="H22" s="134">
        <f>IF($O$9="",F22,IF($U$9=0,"ERRO",IF($U$9="O ano não está correto para o intervalo","ERRO",IF($O$9=2018,F22,ROUND((F22/$U$9)*3.2939,2)))))</f>
        <v>0</v>
      </c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</row>
    <row r="23" spans="1:23" ht="6.75" customHeight="1" x14ac:dyDescent="0.2">
      <c r="A23" s="132"/>
      <c r="B23" s="12"/>
      <c r="C23" s="12"/>
      <c r="D23" s="50"/>
      <c r="E23" s="50"/>
      <c r="F23" s="439"/>
      <c r="G23" s="439"/>
      <c r="H23" s="134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</row>
    <row r="24" spans="1:23" x14ac:dyDescent="0.2">
      <c r="A24" s="132"/>
      <c r="B24" s="12" t="s">
        <v>307</v>
      </c>
      <c r="C24" s="12"/>
      <c r="D24" s="50" t="s">
        <v>308</v>
      </c>
      <c r="E24" s="50"/>
      <c r="F24" s="190"/>
      <c r="G24" s="439"/>
      <c r="H24" s="134">
        <f>IF($O$9="",F24,IF($U$9=0,"ERRO",IF($U$9="O ano não está correto para o intervalo","ERRO",IF($O$9=2018,F24,ROUND((F24/$U$9)*3.2939,2)))))</f>
        <v>0</v>
      </c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</row>
    <row r="25" spans="1:23" ht="6.75" customHeight="1" x14ac:dyDescent="0.2">
      <c r="A25" s="132"/>
      <c r="B25" s="12"/>
      <c r="C25" s="12"/>
      <c r="D25" s="50"/>
      <c r="E25" s="50"/>
      <c r="F25" s="439"/>
      <c r="G25" s="439"/>
      <c r="H25" s="134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</row>
    <row r="26" spans="1:23" ht="12.75" customHeight="1" x14ac:dyDescent="0.2">
      <c r="A26" s="132"/>
      <c r="B26" s="12" t="s">
        <v>309</v>
      </c>
      <c r="C26" s="12"/>
      <c r="D26" s="50" t="s">
        <v>310</v>
      </c>
      <c r="E26" s="50"/>
      <c r="F26" s="190"/>
      <c r="G26" s="439"/>
      <c r="H26" s="134">
        <f>IF($O$9="",F26,IF($U$9=0,"ERRO",IF($U$9="O ano não está correto para o intervalo","ERRO",IF($O$9=2018,F26,ROUND((F26/$U$9)*3.2939,2)))))</f>
        <v>0</v>
      </c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</row>
    <row r="27" spans="1:23" ht="6.75" customHeight="1" x14ac:dyDescent="0.2">
      <c r="A27" s="132"/>
      <c r="B27" s="12"/>
      <c r="C27" s="12"/>
      <c r="D27" s="50"/>
      <c r="E27" s="50"/>
      <c r="F27" s="439"/>
      <c r="G27" s="439"/>
      <c r="H27" s="134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</row>
    <row r="28" spans="1:23" x14ac:dyDescent="0.2">
      <c r="A28" s="132"/>
      <c r="B28" s="12" t="s">
        <v>311</v>
      </c>
      <c r="C28" s="12"/>
      <c r="D28" s="50" t="s">
        <v>312</v>
      </c>
      <c r="E28" s="50"/>
      <c r="F28" s="190"/>
      <c r="G28" s="439"/>
      <c r="H28" s="134">
        <f>IF($O$9="",F28,IF($U$9=0,"ERRO",IF($U$9="O ano não está correto para o intervalo","ERRO",IF($O$9=2018,F28,ROUND((F28/$U$9)*3.2939,2)))))</f>
        <v>0</v>
      </c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</row>
    <row r="29" spans="1:23" ht="6.75" customHeight="1" x14ac:dyDescent="0.2">
      <c r="A29" s="132"/>
      <c r="B29" s="12"/>
      <c r="C29" s="12"/>
      <c r="D29" s="50"/>
      <c r="E29" s="50"/>
      <c r="F29" s="330"/>
      <c r="G29" s="439"/>
      <c r="H29" s="134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</row>
    <row r="30" spans="1:23" ht="12.75" customHeight="1" x14ac:dyDescent="0.2">
      <c r="A30" s="132"/>
      <c r="B30" s="12" t="s">
        <v>313</v>
      </c>
      <c r="C30" s="12"/>
      <c r="D30" s="50" t="s">
        <v>314</v>
      </c>
      <c r="E30" s="50"/>
      <c r="F30" s="190"/>
      <c r="G30" s="439"/>
      <c r="H30" s="134">
        <f>IF($O$9="",F30,IF($U$9=0,"ERRO",IF($U$9="O ano não está correto para o intervalo","ERRO",IF($O$9=2018,F30,ROUND((F30/$U$9)*3.2939,2)))))</f>
        <v>0</v>
      </c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</row>
    <row r="31" spans="1:23" ht="6.75" customHeight="1" x14ac:dyDescent="0.2">
      <c r="A31" s="132"/>
      <c r="B31" s="12"/>
      <c r="C31" s="12"/>
      <c r="D31" s="50"/>
      <c r="E31" s="50"/>
      <c r="F31" s="439"/>
      <c r="G31" s="439"/>
      <c r="H31" s="134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</row>
    <row r="32" spans="1:23" ht="12.75" customHeight="1" x14ac:dyDescent="0.2">
      <c r="A32" s="132"/>
      <c r="B32" s="12" t="s">
        <v>315</v>
      </c>
      <c r="C32" s="12"/>
      <c r="D32" s="50" t="s">
        <v>316</v>
      </c>
      <c r="E32" s="50"/>
      <c r="F32" s="190"/>
      <c r="G32" s="439"/>
      <c r="H32" s="134">
        <f>IF($O$9="",F32,IF($U$9=0,"ERRO",IF($U$9="O ano não está correto para o intervalo","ERRO",IF($O$9=2018,F32,ROUND((F32/$U$9)*3.2939,2)))))</f>
        <v>0</v>
      </c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</row>
    <row r="33" spans="1:21" ht="6" customHeight="1" x14ac:dyDescent="0.2">
      <c r="A33" s="132"/>
      <c r="B33" s="12"/>
      <c r="C33" s="12"/>
      <c r="D33" s="50"/>
      <c r="E33" s="50"/>
      <c r="F33" s="330"/>
      <c r="G33" s="439"/>
      <c r="H33" s="134"/>
      <c r="I33" s="132"/>
      <c r="J33" s="132"/>
      <c r="K33" s="132"/>
      <c r="L33" s="132"/>
      <c r="M33" s="132"/>
      <c r="N33" s="132"/>
      <c r="O33" s="132"/>
      <c r="P33" s="132"/>
      <c r="Q33" s="132"/>
      <c r="R33" s="132"/>
      <c r="S33" s="132"/>
    </row>
    <row r="34" spans="1:21" ht="6.75" customHeight="1" x14ac:dyDescent="0.2">
      <c r="A34" s="132"/>
      <c r="B34" s="12"/>
      <c r="C34" s="12"/>
      <c r="D34" s="50"/>
      <c r="E34" s="50"/>
      <c r="F34" s="439"/>
      <c r="G34" s="439"/>
      <c r="H34" s="134"/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132"/>
    </row>
    <row r="35" spans="1:21" ht="12.75" customHeight="1" x14ac:dyDescent="0.2">
      <c r="A35" s="132"/>
      <c r="B35" s="191"/>
      <c r="C35" s="12"/>
      <c r="D35" s="192"/>
      <c r="E35" s="50"/>
      <c r="F35" s="190"/>
      <c r="G35" s="439"/>
      <c r="H35" s="134">
        <f>IF($O$9="",F35,IF($U$9=0,"ERRO",IF($U$9="O ano não está correto para o intervalo","ERRO",IF($O$9=2018,F35,ROUND((F35/$U$9)*3.2939,2)))))</f>
        <v>0</v>
      </c>
      <c r="I35" s="512" t="str">
        <f>IF(B35="","Falta preencher o Código da Receita",IF(B35=Certidão!B24,"","Recolhimento em conta diversa"))</f>
        <v>Falta preencher o Código da Receita</v>
      </c>
      <c r="J35" s="512"/>
      <c r="K35" s="512"/>
      <c r="L35" s="512"/>
      <c r="M35" s="512"/>
      <c r="N35" s="512"/>
      <c r="O35" s="512"/>
      <c r="P35" s="512"/>
      <c r="Q35" s="512"/>
      <c r="R35" s="512"/>
      <c r="S35" s="132"/>
    </row>
    <row r="36" spans="1:21" ht="6.75" customHeight="1" x14ac:dyDescent="0.2">
      <c r="A36" s="132"/>
      <c r="B36" s="12"/>
      <c r="C36" s="12"/>
      <c r="D36" s="50"/>
      <c r="E36" s="50"/>
      <c r="F36" s="439"/>
      <c r="G36" s="439"/>
      <c r="H36" s="134"/>
      <c r="I36" s="512"/>
      <c r="J36" s="512"/>
      <c r="K36" s="512"/>
      <c r="L36" s="512"/>
      <c r="M36" s="512"/>
      <c r="N36" s="512"/>
      <c r="O36" s="512"/>
      <c r="P36" s="512"/>
      <c r="Q36" s="512"/>
      <c r="R36" s="512"/>
      <c r="S36" s="132"/>
    </row>
    <row r="37" spans="1:21" ht="12.75" customHeight="1" x14ac:dyDescent="0.2">
      <c r="A37" s="132"/>
      <c r="B37" s="184"/>
      <c r="C37" s="12"/>
      <c r="D37" s="184"/>
      <c r="E37" s="50"/>
      <c r="F37" s="190"/>
      <c r="G37" s="439"/>
      <c r="H37" s="134">
        <f>IF($O$9="",F37,IF($U$9=0,"ERRO",IF($U$9="O ano não está correto para o intervalo","ERRO",IF($O$9=2018,F37,ROUND((F37/$U$9)*3.2939,2)))))</f>
        <v>0</v>
      </c>
      <c r="I37" s="512" t="str">
        <f>IF(B37="","Falta preencher o Código da Receita",IF(B37=Certidão!B25,"","Recolhimento em conta diversa"))</f>
        <v>Falta preencher o Código da Receita</v>
      </c>
      <c r="J37" s="512"/>
      <c r="K37" s="512"/>
      <c r="L37" s="512"/>
      <c r="M37" s="512"/>
      <c r="N37" s="512"/>
      <c r="O37" s="512"/>
      <c r="P37" s="512"/>
      <c r="Q37" s="512"/>
      <c r="R37" s="512"/>
      <c r="S37" s="132"/>
    </row>
    <row r="38" spans="1:21" ht="6.75" customHeight="1" x14ac:dyDescent="0.2">
      <c r="A38" s="132"/>
      <c r="B38" s="12"/>
      <c r="C38" s="12"/>
      <c r="D38" s="50"/>
      <c r="E38" s="50"/>
      <c r="F38" s="439"/>
      <c r="G38" s="439"/>
      <c r="H38" s="134"/>
      <c r="I38" s="512"/>
      <c r="J38" s="512"/>
      <c r="K38" s="512"/>
      <c r="L38" s="512"/>
      <c r="M38" s="512"/>
      <c r="N38" s="512"/>
      <c r="O38" s="512"/>
      <c r="P38" s="512"/>
      <c r="Q38" s="512"/>
      <c r="R38" s="512"/>
      <c r="S38" s="132"/>
    </row>
    <row r="39" spans="1:21" x14ac:dyDescent="0.2">
      <c r="A39" s="132"/>
      <c r="B39" s="12" t="s">
        <v>317</v>
      </c>
      <c r="C39" s="12"/>
      <c r="D39" s="50" t="s">
        <v>318</v>
      </c>
      <c r="E39" s="50"/>
      <c r="F39" s="190"/>
      <c r="G39" s="439"/>
      <c r="H39" s="134">
        <f>IF($O$9="",F39,IF($U$9=0,"ERRO",IF($U$9="O ano não está correto para o intervalo","ERRO",IF($O$9=2018,F39,ROUND((F39/$U$9)*3.2939,2)))))</f>
        <v>0</v>
      </c>
      <c r="I39" s="512"/>
      <c r="J39" s="512"/>
      <c r="K39" s="512"/>
      <c r="L39" s="512"/>
      <c r="M39" s="512"/>
      <c r="N39" s="512"/>
      <c r="O39" s="512"/>
      <c r="P39" s="512"/>
      <c r="Q39" s="512"/>
      <c r="R39" s="512"/>
      <c r="S39" s="132"/>
    </row>
    <row r="40" spans="1:21" ht="6.75" customHeight="1" x14ac:dyDescent="0.2">
      <c r="A40" s="132"/>
      <c r="B40" s="12"/>
      <c r="C40" s="12"/>
      <c r="D40" s="50"/>
      <c r="E40" s="50"/>
      <c r="F40" s="439"/>
      <c r="G40" s="439"/>
      <c r="H40" s="134"/>
      <c r="I40" s="512"/>
      <c r="J40" s="512"/>
      <c r="K40" s="512"/>
      <c r="L40" s="512"/>
      <c r="M40" s="512"/>
      <c r="N40" s="512"/>
      <c r="O40" s="512"/>
      <c r="P40" s="512"/>
      <c r="Q40" s="512"/>
      <c r="R40" s="512"/>
      <c r="S40" s="132"/>
    </row>
    <row r="41" spans="1:21" x14ac:dyDescent="0.2">
      <c r="A41" s="132"/>
      <c r="B41" s="193"/>
      <c r="C41" s="194"/>
      <c r="D41" s="50" t="s">
        <v>319</v>
      </c>
      <c r="E41" s="50"/>
      <c r="F41" s="190"/>
      <c r="G41" s="439"/>
      <c r="H41" s="134">
        <f>IF($O$9="",F41,IF($U$9=0,"ERRO",IF($U$9="O ano não está correto para o intervalo","ERRO",IF($O$9=2018,F41,ROUND((F41/$U$9)*3.2939,2)))))</f>
        <v>0</v>
      </c>
      <c r="I41" s="512" t="str">
        <f>IF(B41="","Falta preencher o Código da Receita",IF(B41=Certidão!B27,"","Recolhimento em conta diversa"))</f>
        <v>Falta preencher o Código da Receita</v>
      </c>
      <c r="J41" s="512"/>
      <c r="K41" s="512"/>
      <c r="L41" s="512"/>
      <c r="M41" s="512"/>
      <c r="N41" s="512"/>
      <c r="O41" s="512"/>
      <c r="P41" s="512"/>
      <c r="Q41" s="512"/>
      <c r="R41" s="512"/>
      <c r="S41" s="132"/>
      <c r="U41" s="139">
        <f>IF(I41="Recolhimento em conta diversa",0,H41)</f>
        <v>0</v>
      </c>
    </row>
    <row r="42" spans="1:21" ht="6.75" customHeight="1" x14ac:dyDescent="0.2">
      <c r="A42" s="132"/>
      <c r="B42" s="195"/>
      <c r="C42" s="194"/>
      <c r="D42" s="50"/>
      <c r="E42" s="50"/>
      <c r="F42" s="133"/>
      <c r="G42" s="439"/>
      <c r="H42" s="134"/>
      <c r="I42" s="437"/>
      <c r="J42" s="437"/>
      <c r="K42" s="437"/>
      <c r="L42" s="437"/>
      <c r="M42" s="437"/>
      <c r="N42" s="437"/>
      <c r="O42" s="437"/>
      <c r="P42" s="437"/>
      <c r="Q42" s="437"/>
      <c r="R42" s="437"/>
      <c r="S42" s="132"/>
      <c r="U42" s="139"/>
    </row>
    <row r="43" spans="1:21" x14ac:dyDescent="0.2">
      <c r="A43" s="132"/>
      <c r="B43" s="193"/>
      <c r="C43" s="194"/>
      <c r="D43" s="50" t="s">
        <v>320</v>
      </c>
      <c r="E43" s="50"/>
      <c r="F43" s="190"/>
      <c r="G43" s="439"/>
      <c r="H43" s="134">
        <f>IF($O$9="",F43,IF($U$9=0,"ERRO",IF($U$9="O ano não está correto para o intervalo","ERRO",IF($O$9=2018,F43,ROUND((F43/$U$9)*3.2939,2)))))</f>
        <v>0</v>
      </c>
      <c r="I43" s="437"/>
      <c r="J43" s="437"/>
      <c r="K43" s="437"/>
      <c r="L43" s="437"/>
      <c r="M43" s="437"/>
      <c r="N43" s="437"/>
      <c r="O43" s="437"/>
      <c r="P43" s="437"/>
      <c r="Q43" s="437"/>
      <c r="R43" s="437"/>
      <c r="S43" s="132"/>
      <c r="U43" s="139"/>
    </row>
    <row r="44" spans="1:21" ht="6.75" customHeight="1" x14ac:dyDescent="0.2">
      <c r="A44" s="132"/>
      <c r="B44" s="194"/>
      <c r="C44" s="194"/>
      <c r="D44" s="50"/>
      <c r="E44" s="50"/>
      <c r="F44" s="439"/>
      <c r="G44" s="439"/>
      <c r="H44" s="134"/>
      <c r="I44" s="132"/>
      <c r="J44" s="132"/>
      <c r="K44" s="132"/>
      <c r="L44" s="132"/>
      <c r="M44" s="132"/>
      <c r="N44" s="132"/>
      <c r="O44" s="132"/>
      <c r="P44" s="132"/>
      <c r="Q44" s="132"/>
      <c r="R44" s="132"/>
      <c r="S44" s="132"/>
    </row>
    <row r="45" spans="1:21" x14ac:dyDescent="0.2">
      <c r="A45" s="132"/>
      <c r="B45" s="194" t="s">
        <v>321</v>
      </c>
      <c r="C45" s="194"/>
      <c r="D45" s="50" t="s">
        <v>322</v>
      </c>
      <c r="E45" s="50"/>
      <c r="F45" s="190"/>
      <c r="G45" s="439"/>
      <c r="H45" s="134">
        <f>IF($O$9="",F45,IF($U$9=0,"ERRO",IF($U$9="O ano não está correto para o intervalo","ERRO",IF($O$9=2018,F45,ROUND((F45/$U$9)*3.2939,2)))))</f>
        <v>0</v>
      </c>
      <c r="I45" s="132"/>
      <c r="J45" s="132"/>
      <c r="K45" s="132"/>
      <c r="L45" s="132"/>
      <c r="M45" s="132"/>
      <c r="N45" s="132"/>
      <c r="O45" s="132"/>
      <c r="P45" s="132"/>
      <c r="Q45" s="132"/>
      <c r="R45" s="132"/>
      <c r="S45" s="132"/>
      <c r="U45" s="175" t="str">
        <f>IF(I41="Recolhimento em conta diversa","D","")</f>
        <v/>
      </c>
    </row>
    <row r="46" spans="1:21" ht="6.75" customHeight="1" x14ac:dyDescent="0.2">
      <c r="A46" s="132"/>
      <c r="B46" s="194"/>
      <c r="C46" s="194"/>
      <c r="D46" s="50"/>
      <c r="E46" s="50"/>
      <c r="F46" s="439"/>
      <c r="G46" s="439"/>
      <c r="H46" s="134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2"/>
    </row>
    <row r="47" spans="1:21" x14ac:dyDescent="0.2">
      <c r="A47" s="132"/>
      <c r="B47" s="12" t="s">
        <v>323</v>
      </c>
      <c r="C47" s="12"/>
      <c r="D47" s="50" t="s">
        <v>324</v>
      </c>
      <c r="E47" s="50"/>
      <c r="F47" s="190"/>
      <c r="G47" s="439"/>
      <c r="H47" s="134">
        <f>IF($O$9="",F47,IF($U$9=0,"ERRO",IF($U$9="O ano não está correto para o intervalo","ERRO",IF($O$9=2018,F47,ROUND((F47/$U$9)*3.2939,2)))))</f>
        <v>0</v>
      </c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U47" s="138">
        <f>IF(I41="Recolhimento em conta diversa",1,0)</f>
        <v>0</v>
      </c>
    </row>
    <row r="48" spans="1:21" ht="6.75" customHeight="1" x14ac:dyDescent="0.2">
      <c r="A48" s="132"/>
      <c r="B48" s="12"/>
      <c r="C48" s="12"/>
      <c r="D48" s="50"/>
      <c r="E48" s="50"/>
      <c r="F48" s="439"/>
      <c r="G48" s="439"/>
      <c r="H48" s="134"/>
      <c r="I48" s="132"/>
      <c r="J48" s="132"/>
      <c r="K48" s="132"/>
      <c r="L48" s="132"/>
      <c r="M48" s="132"/>
      <c r="N48" s="132"/>
      <c r="O48" s="132"/>
      <c r="P48" s="132"/>
      <c r="Q48" s="132"/>
      <c r="R48" s="132"/>
      <c r="S48" s="132"/>
    </row>
    <row r="49" spans="1:19" ht="13.5" customHeight="1" x14ac:dyDescent="0.2">
      <c r="A49" s="132"/>
      <c r="B49" s="12" t="s">
        <v>325</v>
      </c>
      <c r="C49" s="12"/>
      <c r="D49" s="50" t="s">
        <v>326</v>
      </c>
      <c r="E49" s="50"/>
      <c r="F49" s="190"/>
      <c r="G49" s="439"/>
      <c r="H49" s="134">
        <f>IF($O$9="",F49,IF($U$9=0,"ERRO",IF($U$9="O ano não está correto para o intervalo","ERRO",IF($O$9=2018,F49,ROUND((F49/$U$9)*3.2939,2)))))</f>
        <v>0</v>
      </c>
      <c r="I49" s="132"/>
      <c r="J49" s="132"/>
      <c r="K49" s="132"/>
      <c r="L49" s="132"/>
      <c r="M49" s="132"/>
      <c r="N49" s="132"/>
      <c r="O49" s="132"/>
      <c r="P49" s="132"/>
      <c r="Q49" s="132"/>
      <c r="R49" s="132"/>
      <c r="S49" s="132"/>
    </row>
    <row r="50" spans="1:19" ht="6.75" customHeight="1" x14ac:dyDescent="0.2">
      <c r="A50" s="132"/>
      <c r="B50" s="12"/>
      <c r="C50" s="12"/>
      <c r="D50" s="50"/>
      <c r="E50" s="50"/>
      <c r="F50" s="439"/>
      <c r="G50" s="439"/>
      <c r="H50" s="134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</row>
    <row r="51" spans="1:19" x14ac:dyDescent="0.2">
      <c r="A51" s="132"/>
      <c r="B51" s="12" t="s">
        <v>327</v>
      </c>
      <c r="C51" s="12"/>
      <c r="D51" s="50" t="s">
        <v>328</v>
      </c>
      <c r="E51" s="50"/>
      <c r="F51" s="190"/>
      <c r="G51" s="439"/>
      <c r="H51" s="134">
        <f>IF($O$9="",F51,IF($U$9=0,"ERRO",IF($U$9="O ano não está correto para o intervalo","ERRO",IF($O$9=2018,F51,ROUND((F51/$U$9)*3.2939,2)))))</f>
        <v>0</v>
      </c>
      <c r="I51" s="132"/>
      <c r="J51" s="132"/>
      <c r="K51" s="132"/>
      <c r="L51" s="132"/>
      <c r="M51" s="132"/>
      <c r="N51" s="132"/>
      <c r="O51" s="132"/>
      <c r="P51" s="132"/>
      <c r="Q51" s="132"/>
      <c r="R51" s="132"/>
      <c r="S51" s="132"/>
    </row>
    <row r="52" spans="1:19" ht="6.75" customHeight="1" x14ac:dyDescent="0.2">
      <c r="A52" s="132"/>
      <c r="B52" s="132"/>
      <c r="C52" s="132"/>
      <c r="D52" s="132"/>
      <c r="E52" s="132"/>
      <c r="F52" s="170"/>
      <c r="G52" s="170"/>
      <c r="H52" s="134"/>
      <c r="I52" s="132"/>
      <c r="J52" s="132"/>
      <c r="K52" s="132"/>
      <c r="L52" s="132"/>
      <c r="M52" s="132"/>
      <c r="N52" s="132"/>
      <c r="O52" s="132"/>
      <c r="P52" s="132"/>
      <c r="Q52" s="132"/>
      <c r="R52" s="132"/>
      <c r="S52" s="132"/>
    </row>
    <row r="53" spans="1:19" ht="12.75" customHeight="1" x14ac:dyDescent="0.2">
      <c r="A53" s="132"/>
      <c r="B53" s="196"/>
      <c r="C53" s="132"/>
      <c r="D53" s="166" t="s">
        <v>319</v>
      </c>
      <c r="E53" s="166"/>
      <c r="F53" s="190"/>
      <c r="G53" s="170"/>
      <c r="H53" s="134">
        <f>IF($O$9="",F53,IF($U$9=0,"ERRO",IF($U$9="O ano não está correto para o intervalo","ERRO",IF($O$9=2018,F53,ROUND((F53/$U$9)*3.2939,2)))))</f>
        <v>0</v>
      </c>
      <c r="I53" s="132"/>
      <c r="J53" s="132"/>
      <c r="K53" s="132"/>
      <c r="L53" s="132"/>
      <c r="M53" s="132"/>
      <c r="N53" s="132"/>
      <c r="O53" s="132"/>
      <c r="P53" s="132"/>
      <c r="Q53" s="132"/>
      <c r="R53" s="132"/>
      <c r="S53" s="132"/>
    </row>
    <row r="54" spans="1:19" ht="6.75" customHeight="1" x14ac:dyDescent="0.2">
      <c r="A54" s="132"/>
      <c r="B54" s="197"/>
      <c r="C54" s="132"/>
      <c r="D54" s="166"/>
      <c r="E54" s="166"/>
      <c r="F54" s="198"/>
      <c r="G54" s="170"/>
      <c r="H54" s="134"/>
      <c r="I54" s="132"/>
      <c r="J54" s="132"/>
      <c r="K54" s="132"/>
      <c r="L54" s="132"/>
      <c r="M54" s="132"/>
      <c r="N54" s="132"/>
      <c r="O54" s="132"/>
      <c r="P54" s="132"/>
      <c r="Q54" s="132"/>
      <c r="R54" s="132"/>
      <c r="S54" s="132"/>
    </row>
    <row r="55" spans="1:19" ht="12.75" customHeight="1" x14ac:dyDescent="0.2">
      <c r="A55" s="132"/>
      <c r="B55" s="196"/>
      <c r="C55" s="132"/>
      <c r="D55" s="50" t="s">
        <v>320</v>
      </c>
      <c r="E55" s="166"/>
      <c r="F55" s="190"/>
      <c r="G55" s="170"/>
      <c r="H55" s="134">
        <f>IF($O$9="",F55,IF($U$9=0,"ERRO",IF($U$9="O ano não está correto para o intervalo","ERRO",IF($O$9=2018,F55,ROUND((F55/$U$9)*3.2939,2)))))</f>
        <v>0</v>
      </c>
      <c r="I55" s="132"/>
      <c r="J55" s="132"/>
      <c r="K55" s="132"/>
      <c r="L55" s="132"/>
      <c r="M55" s="132"/>
      <c r="N55" s="132"/>
      <c r="O55" s="132"/>
      <c r="P55" s="132"/>
      <c r="Q55" s="132"/>
      <c r="R55" s="132"/>
      <c r="S55" s="132"/>
    </row>
    <row r="56" spans="1:19" ht="6.75" customHeight="1" x14ac:dyDescent="0.2">
      <c r="A56" s="132"/>
      <c r="B56" s="166"/>
      <c r="C56" s="132"/>
      <c r="D56" s="166"/>
      <c r="E56" s="166"/>
      <c r="F56" s="170"/>
      <c r="G56" s="170"/>
      <c r="H56" s="134"/>
      <c r="I56" s="132"/>
      <c r="J56" s="132"/>
      <c r="K56" s="132"/>
      <c r="L56" s="132"/>
      <c r="M56" s="132"/>
      <c r="N56" s="132"/>
      <c r="O56" s="132"/>
      <c r="P56" s="132"/>
      <c r="Q56" s="132"/>
      <c r="R56" s="132"/>
      <c r="S56" s="132"/>
    </row>
    <row r="57" spans="1:19" ht="12.75" customHeight="1" x14ac:dyDescent="0.2">
      <c r="A57" s="132"/>
      <c r="B57" s="196"/>
      <c r="C57" s="132"/>
      <c r="D57" s="166" t="s">
        <v>319</v>
      </c>
      <c r="E57" s="166"/>
      <c r="F57" s="190"/>
      <c r="G57" s="170"/>
      <c r="H57" s="134">
        <f>IF($O$9="",F57,IF($U$9=0,"ERRO",IF($U$9="O ano não está correto para o intervalo","ERRO",IF($O$9=2018,F57,ROUND((F57/$U$9)*3.2939,2)))))</f>
        <v>0</v>
      </c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</row>
    <row r="58" spans="1:19" ht="6.75" customHeight="1" x14ac:dyDescent="0.2">
      <c r="A58" s="132"/>
      <c r="B58" s="197"/>
      <c r="C58" s="132"/>
      <c r="D58" s="166"/>
      <c r="E58" s="166"/>
      <c r="F58" s="198"/>
      <c r="G58" s="170"/>
      <c r="H58" s="134"/>
      <c r="I58" s="132"/>
      <c r="J58" s="132"/>
      <c r="K58" s="132"/>
      <c r="L58" s="132"/>
      <c r="M58" s="132"/>
      <c r="N58" s="132"/>
      <c r="O58" s="132"/>
      <c r="P58" s="132"/>
      <c r="Q58" s="132"/>
      <c r="R58" s="132"/>
      <c r="S58" s="132"/>
    </row>
    <row r="59" spans="1:19" ht="12.75" customHeight="1" x14ac:dyDescent="0.2">
      <c r="A59" s="132"/>
      <c r="B59" s="196"/>
      <c r="C59" s="132"/>
      <c r="D59" s="50" t="s">
        <v>320</v>
      </c>
      <c r="E59" s="166"/>
      <c r="F59" s="190"/>
      <c r="G59" s="170"/>
      <c r="H59" s="134">
        <f>IF($O$9="",F59,IF($U$9=0,"ERRO",IF($U$9="O ano não está correto para o intervalo","ERRO",IF($O$9=2018,F59,ROUND((F59/$U$9)*3.2939,2)))))</f>
        <v>0</v>
      </c>
      <c r="I59" s="132"/>
      <c r="J59" s="132"/>
      <c r="K59" s="132"/>
      <c r="L59" s="132"/>
      <c r="M59" s="132"/>
      <c r="N59" s="132"/>
      <c r="O59" s="132"/>
      <c r="P59" s="132"/>
      <c r="Q59" s="132"/>
      <c r="R59" s="132"/>
      <c r="S59" s="132"/>
    </row>
    <row r="60" spans="1:19" ht="6.75" customHeight="1" x14ac:dyDescent="0.2">
      <c r="A60" s="132"/>
      <c r="B60" s="166"/>
      <c r="C60" s="132"/>
      <c r="D60" s="166"/>
      <c r="E60" s="166"/>
      <c r="F60" s="187"/>
      <c r="G60" s="170"/>
      <c r="H60" s="134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</row>
    <row r="61" spans="1:19" ht="12.75" customHeight="1" x14ac:dyDescent="0.2">
      <c r="A61" s="132"/>
      <c r="B61" s="196"/>
      <c r="C61" s="132"/>
      <c r="D61" s="166" t="s">
        <v>319</v>
      </c>
      <c r="E61" s="166"/>
      <c r="F61" s="190"/>
      <c r="G61" s="170"/>
      <c r="H61" s="134">
        <f>IF($O$9="",F61,IF($U$9=0,"ERRO",IF($U$9="O ano não está correto para o intervalo","ERRO",IF($O$9=2018,F61,ROUND((F61/$U$9)*3.2939,2)))))</f>
        <v>0</v>
      </c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</row>
    <row r="62" spans="1:19" ht="6.75" customHeight="1" x14ac:dyDescent="0.2">
      <c r="A62" s="132"/>
      <c r="B62" s="197"/>
      <c r="C62" s="132"/>
      <c r="D62" s="166"/>
      <c r="E62" s="166"/>
      <c r="F62" s="198"/>
      <c r="G62" s="170"/>
      <c r="H62" s="134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</row>
    <row r="63" spans="1:19" ht="12.75" customHeight="1" x14ac:dyDescent="0.2">
      <c r="A63" s="132"/>
      <c r="B63" s="196"/>
      <c r="C63" s="132"/>
      <c r="D63" s="50" t="s">
        <v>320</v>
      </c>
      <c r="E63" s="166"/>
      <c r="F63" s="190"/>
      <c r="G63" s="170"/>
      <c r="H63" s="134">
        <f>IF($O$9="",F63,IF($U$9=0,"ERRO",IF($U$9="O ano não está correto para o intervalo","ERRO",IF($O$9=2018,F63,ROUND((F63/$U$9)*3.2939,2)))))</f>
        <v>0</v>
      </c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</row>
    <row r="64" spans="1:19" ht="6.75" customHeight="1" x14ac:dyDescent="0.2">
      <c r="A64" s="132"/>
      <c r="B64" s="166"/>
      <c r="C64" s="132"/>
      <c r="D64" s="166"/>
      <c r="E64" s="166"/>
      <c r="F64" s="187"/>
      <c r="G64" s="170"/>
      <c r="H64" s="134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</row>
    <row r="65" spans="1:23" ht="12.75" customHeight="1" x14ac:dyDescent="0.2">
      <c r="A65" s="132"/>
      <c r="B65" s="196"/>
      <c r="C65" s="132"/>
      <c r="D65" s="166" t="s">
        <v>319</v>
      </c>
      <c r="E65" s="166"/>
      <c r="F65" s="190"/>
      <c r="G65" s="170"/>
      <c r="H65" s="134">
        <f>IF($O$9="",F65,IF($U$9=0,"ERRO",IF($U$9="O ano não está correto para o intervalo","ERRO",IF($O$9=2018,F65,ROUND((F65/$U$9)*3.2939,2)))))</f>
        <v>0</v>
      </c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</row>
    <row r="66" spans="1:23" ht="6.75" customHeight="1" x14ac:dyDescent="0.2">
      <c r="A66" s="132"/>
      <c r="B66" s="197"/>
      <c r="C66" s="132"/>
      <c r="D66" s="166"/>
      <c r="E66" s="166"/>
      <c r="F66" s="198"/>
      <c r="G66" s="170"/>
      <c r="H66" s="134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</row>
    <row r="67" spans="1:23" ht="12.75" customHeight="1" x14ac:dyDescent="0.2">
      <c r="A67" s="132"/>
      <c r="B67" s="196"/>
      <c r="C67" s="132"/>
      <c r="D67" s="50" t="s">
        <v>320</v>
      </c>
      <c r="E67" s="166"/>
      <c r="F67" s="190"/>
      <c r="G67" s="170"/>
      <c r="H67" s="134">
        <f>IF($O$9="",F67,IF($U$9=0,"ERRO",IF($U$9="O ano não está correto para o intervalo","ERRO",IF($O$9=2018,F67,ROUND((F67/$U$9)*3.2939,2)))))</f>
        <v>0</v>
      </c>
      <c r="I67" s="132"/>
      <c r="J67" s="132"/>
      <c r="K67" s="132"/>
      <c r="L67" s="132"/>
      <c r="M67" s="132"/>
      <c r="N67" s="132"/>
      <c r="O67" s="132"/>
      <c r="P67" s="132"/>
      <c r="Q67" s="132"/>
      <c r="R67" s="132"/>
      <c r="S67" s="132"/>
    </row>
    <row r="68" spans="1:23" ht="6.75" customHeight="1" x14ac:dyDescent="0.2">
      <c r="A68" s="132"/>
      <c r="B68" s="12"/>
      <c r="C68" s="12"/>
      <c r="D68" s="50"/>
      <c r="E68" s="50"/>
      <c r="F68" s="439"/>
      <c r="G68" s="439"/>
      <c r="H68" s="134"/>
      <c r="I68" s="437"/>
      <c r="J68" s="437"/>
      <c r="K68" s="437"/>
      <c r="L68" s="437"/>
      <c r="M68" s="437"/>
      <c r="N68" s="437"/>
      <c r="O68" s="437"/>
      <c r="P68" s="437"/>
      <c r="Q68" s="437"/>
      <c r="R68" s="437"/>
      <c r="S68" s="132"/>
    </row>
    <row r="69" spans="1:23" x14ac:dyDescent="0.2">
      <c r="A69" s="132"/>
      <c r="B69" s="12" t="s">
        <v>329</v>
      </c>
      <c r="C69" s="12"/>
      <c r="D69" s="50" t="s">
        <v>218</v>
      </c>
      <c r="E69" s="50"/>
      <c r="F69" s="190"/>
      <c r="G69" s="439"/>
      <c r="H69" s="134">
        <f>IF($O$9="",F69,IF($U$9=0,"ERRO",IF($U$9="O ano não está correto para o intervalo","ERRO",IF($O$9=2018,F69,ROUND((F69/$U$9)*3.2939,2)))))</f>
        <v>0</v>
      </c>
      <c r="I69" s="437"/>
      <c r="J69" s="437"/>
      <c r="K69" s="437"/>
      <c r="L69" s="437"/>
      <c r="M69" s="437"/>
      <c r="N69" s="437"/>
      <c r="O69" s="437"/>
      <c r="P69" s="437"/>
      <c r="Q69" s="437"/>
      <c r="R69" s="437"/>
      <c r="S69" s="132"/>
    </row>
    <row r="70" spans="1:23" ht="6.75" customHeight="1" x14ac:dyDescent="0.2">
      <c r="A70" s="132"/>
      <c r="B70" s="12"/>
      <c r="C70" s="12"/>
      <c r="D70" s="50"/>
      <c r="E70" s="50"/>
      <c r="F70" s="439"/>
      <c r="G70" s="439"/>
      <c r="H70" s="134"/>
      <c r="I70" s="437"/>
      <c r="J70" s="437"/>
      <c r="K70" s="437"/>
      <c r="L70" s="437"/>
      <c r="M70" s="437"/>
      <c r="N70" s="437"/>
      <c r="O70" s="437"/>
      <c r="P70" s="437"/>
      <c r="Q70" s="437"/>
      <c r="R70" s="437"/>
      <c r="S70" s="132"/>
    </row>
    <row r="71" spans="1:23" x14ac:dyDescent="0.2">
      <c r="A71" s="132"/>
      <c r="B71" s="12" t="s">
        <v>330</v>
      </c>
      <c r="C71" s="12"/>
      <c r="D71" s="50" t="s">
        <v>224</v>
      </c>
      <c r="E71" s="50"/>
      <c r="F71" s="190"/>
      <c r="G71" s="439"/>
      <c r="H71" s="134">
        <f>IF($O$9="",F71,IF($U$9=0,"ERRO",IF($U$9="O ano não está correto para o intervalo","ERRO",IF($O$9=2018,F71,ROUND((F71/$U$9)*3.2939,2)))))</f>
        <v>0</v>
      </c>
      <c r="I71" s="437"/>
      <c r="J71" s="437"/>
      <c r="K71" s="437"/>
      <c r="L71" s="437"/>
      <c r="M71" s="437"/>
      <c r="N71" s="437"/>
      <c r="O71" s="437"/>
      <c r="P71" s="437"/>
      <c r="Q71" s="437"/>
      <c r="R71" s="437"/>
      <c r="S71" s="132"/>
    </row>
    <row r="72" spans="1:23" ht="6" customHeight="1" x14ac:dyDescent="0.2">
      <c r="A72" s="132"/>
      <c r="B72" s="12"/>
      <c r="C72" s="12"/>
      <c r="D72" s="50"/>
      <c r="E72" s="50"/>
      <c r="F72" s="330"/>
      <c r="G72" s="439"/>
      <c r="H72" s="134"/>
      <c r="I72" s="437"/>
      <c r="J72" s="437"/>
      <c r="K72" s="437"/>
      <c r="L72" s="437"/>
      <c r="M72" s="437"/>
      <c r="N72" s="437"/>
      <c r="O72" s="437"/>
      <c r="P72" s="437"/>
      <c r="Q72" s="437"/>
      <c r="R72" s="437"/>
      <c r="S72" s="132"/>
    </row>
    <row r="73" spans="1:23" ht="12.75" customHeight="1" x14ac:dyDescent="0.2">
      <c r="A73" s="132"/>
      <c r="B73" s="12" t="s">
        <v>331</v>
      </c>
      <c r="C73" s="12"/>
      <c r="D73" s="50" t="s">
        <v>332</v>
      </c>
      <c r="E73" s="50"/>
      <c r="F73" s="190"/>
      <c r="G73" s="439"/>
      <c r="H73" s="134">
        <f>IF($O$9="",F73,IF($U$9=0,"ERRO",IF($U$9="O ano não está correto para o intervalo","ERRO",IF($O$9=2018,F73,ROUND((F73/$U$9)*3.2939,2)))))</f>
        <v>0</v>
      </c>
      <c r="I73" s="132"/>
      <c r="J73" s="132"/>
      <c r="K73" s="132"/>
      <c r="L73" s="132"/>
      <c r="M73" s="132"/>
      <c r="N73" s="132"/>
      <c r="O73" s="132"/>
      <c r="P73" s="132"/>
      <c r="Q73" s="132"/>
      <c r="R73" s="132"/>
      <c r="S73" s="132"/>
    </row>
    <row r="74" spans="1:23" ht="6.75" customHeight="1" x14ac:dyDescent="0.2">
      <c r="A74" s="132"/>
      <c r="B74" s="12"/>
      <c r="C74" s="12"/>
      <c r="D74" s="50"/>
      <c r="E74" s="50"/>
      <c r="F74" s="330"/>
      <c r="G74" s="439"/>
      <c r="H74" s="134"/>
      <c r="I74" s="132"/>
      <c r="J74" s="132"/>
      <c r="K74" s="132"/>
      <c r="L74" s="132"/>
      <c r="M74" s="132"/>
      <c r="N74" s="132"/>
      <c r="O74" s="132"/>
      <c r="P74" s="132"/>
      <c r="Q74" s="132"/>
      <c r="R74" s="132"/>
      <c r="S74" s="132"/>
    </row>
    <row r="75" spans="1:23" ht="12.75" customHeight="1" x14ac:dyDescent="0.2">
      <c r="A75" s="132"/>
      <c r="B75" s="12" t="s">
        <v>333</v>
      </c>
      <c r="C75" s="12"/>
      <c r="D75" s="50" t="s">
        <v>334</v>
      </c>
      <c r="E75" s="50"/>
      <c r="F75" s="190"/>
      <c r="G75" s="439"/>
      <c r="H75" s="134">
        <f>IF($O$9="",F75,IF($U$9=0,"ERRO",IF($U$9="O ano não está correto para o intervalo","ERRO",IF($O$9=2018,F75,ROUND((F75/$U$9)*3.2939,2)))))</f>
        <v>0</v>
      </c>
      <c r="I75" s="132"/>
      <c r="J75" s="132"/>
      <c r="K75" s="132"/>
      <c r="L75" s="132"/>
      <c r="M75" s="132"/>
      <c r="N75" s="132"/>
      <c r="O75" s="132"/>
      <c r="P75" s="132"/>
      <c r="Q75" s="132"/>
      <c r="R75" s="132"/>
      <c r="S75" s="132"/>
    </row>
    <row r="76" spans="1:23" ht="12.75" customHeight="1" x14ac:dyDescent="0.2">
      <c r="A76" s="132"/>
      <c r="B76" s="12"/>
      <c r="C76" s="132"/>
      <c r="D76" s="166"/>
      <c r="E76" s="166"/>
      <c r="F76" s="187"/>
      <c r="G76" s="170"/>
      <c r="H76" s="134"/>
      <c r="I76" s="132"/>
      <c r="J76" s="132"/>
      <c r="K76" s="132"/>
      <c r="L76" s="132"/>
      <c r="M76" s="132"/>
      <c r="N76" s="132"/>
      <c r="O76" s="132"/>
      <c r="P76" s="132"/>
      <c r="Q76" s="132"/>
      <c r="R76" s="132"/>
      <c r="S76" s="132"/>
    </row>
    <row r="77" spans="1:23" x14ac:dyDescent="0.2">
      <c r="A77" s="132"/>
      <c r="B77" s="132"/>
      <c r="C77" s="132"/>
      <c r="D77" s="171" t="s">
        <v>335</v>
      </c>
      <c r="E77" s="171"/>
      <c r="F77" s="187">
        <f>SUM(F20:F75)</f>
        <v>0</v>
      </c>
      <c r="G77" s="170"/>
      <c r="H77" s="134"/>
      <c r="I77" s="132"/>
      <c r="J77" s="132"/>
      <c r="K77" s="132"/>
      <c r="L77" s="132"/>
      <c r="M77" s="132"/>
      <c r="N77" s="132"/>
      <c r="O77" s="132"/>
      <c r="P77" s="132"/>
      <c r="Q77" s="132"/>
      <c r="R77" s="132"/>
      <c r="S77" s="132"/>
      <c r="U77" s="175"/>
      <c r="V77" s="177"/>
      <c r="W77" s="178"/>
    </row>
    <row r="78" spans="1:23" x14ac:dyDescent="0.2">
      <c r="A78" s="132"/>
      <c r="B78" s="132"/>
      <c r="C78" s="132"/>
      <c r="D78" s="171"/>
      <c r="E78" s="171"/>
      <c r="F78" s="187"/>
      <c r="G78" s="170"/>
      <c r="H78" s="134"/>
      <c r="I78" s="132"/>
      <c r="J78" s="132"/>
      <c r="K78" s="132"/>
      <c r="L78" s="132"/>
      <c r="M78" s="132"/>
      <c r="N78" s="132"/>
      <c r="O78" s="132"/>
      <c r="P78" s="132"/>
      <c r="Q78" s="132"/>
      <c r="R78" s="132"/>
      <c r="S78" s="132"/>
      <c r="V78" s="175"/>
    </row>
    <row r="79" spans="1:23" x14ac:dyDescent="0.2">
      <c r="A79" s="132"/>
      <c r="B79" s="132"/>
      <c r="C79" s="132"/>
      <c r="D79" s="171"/>
      <c r="E79" s="171"/>
      <c r="F79" s="171" t="s">
        <v>290</v>
      </c>
      <c r="G79" s="550"/>
      <c r="H79" s="550"/>
      <c r="I79" s="550"/>
      <c r="J79" s="180" t="s">
        <v>291</v>
      </c>
      <c r="K79" s="110"/>
      <c r="L79" s="181" t="s">
        <v>292</v>
      </c>
      <c r="M79" s="182"/>
      <c r="N79" s="181" t="s">
        <v>292</v>
      </c>
      <c r="O79" s="182"/>
      <c r="P79" s="183"/>
      <c r="Q79" s="171" t="s">
        <v>293</v>
      </c>
      <c r="R79" s="184"/>
      <c r="S79" s="132"/>
      <c r="U79" s="99">
        <f>IF(O79=0,0,IF(O79=1999,0.977,IF(O79=2000,1.0641,IF(O79=2001,1.1283,IF(O79=2002,1.213,IF(O79=2003,1.3584,IF(O79=2004,1.4924,IF(O79=2005,1.6049,V79))))))))</f>
        <v>0</v>
      </c>
      <c r="V79" s="5" t="str">
        <f>IF(O79=2006,1.6992,IF(O79=2007,1.7495,IF(O79=2008,1.8258,IF(O79=2009,1.9372,IF(O79=2010,2.0183,IF(O79=2011,2.1352,IF(O79=2012,2.2752,IF(O79=2013,2.4066,W79))))))))</f>
        <v>O ano não está correto para o intervalo</v>
      </c>
      <c r="W79" s="178" t="str">
        <f>IF(O79=2014,2.5473,IF(O79=2015,2.7119,IF(O79=2016,3.0023,IF(O79=2017,3.1999,IF(79=2018,1,"O ano não está correto para o intervalo")))))</f>
        <v>O ano não está correto para o intervalo</v>
      </c>
    </row>
    <row r="80" spans="1:23" ht="6.75" customHeight="1" x14ac:dyDescent="0.2">
      <c r="A80" s="132"/>
      <c r="B80" s="132"/>
      <c r="C80" s="132"/>
      <c r="D80" s="171"/>
      <c r="E80" s="171"/>
      <c r="F80" s="132"/>
      <c r="G80" s="132"/>
      <c r="H80" s="171"/>
      <c r="I80" s="438"/>
      <c r="J80" s="438"/>
      <c r="K80" s="438"/>
      <c r="L80" s="438"/>
      <c r="M80" s="438"/>
      <c r="N80" s="438"/>
      <c r="O80" s="438"/>
      <c r="P80" s="438"/>
      <c r="Q80" s="132"/>
      <c r="R80" s="132"/>
      <c r="S80" s="132"/>
      <c r="V80" s="175" t="s">
        <v>294</v>
      </c>
      <c r="W80" s="175" t="s">
        <v>295</v>
      </c>
    </row>
    <row r="81" spans="1:23" x14ac:dyDescent="0.2">
      <c r="A81" s="132"/>
      <c r="B81" s="132"/>
      <c r="C81" s="132"/>
      <c r="D81" s="171"/>
      <c r="E81" s="171"/>
      <c r="F81" s="551" t="s">
        <v>336</v>
      </c>
      <c r="G81" s="551"/>
      <c r="H81" s="551"/>
      <c r="I81" s="551"/>
      <c r="J81" s="551"/>
      <c r="K81" s="20"/>
      <c r="L81" s="438"/>
      <c r="M81" s="512" t="str">
        <f>IF(T81&gt;1,"Escolher uma opção","")</f>
        <v/>
      </c>
      <c r="N81" s="512"/>
      <c r="O81" s="512"/>
      <c r="P81" s="512"/>
      <c r="Q81" s="512"/>
      <c r="R81" s="512"/>
      <c r="S81" s="132"/>
      <c r="T81" s="138">
        <f>COUNTA(K81,K83,K84)</f>
        <v>0</v>
      </c>
      <c r="U81" s="175">
        <f>H86*0.05</f>
        <v>0</v>
      </c>
      <c r="V81" s="175">
        <f>IF($T$81&gt;1,0,IF(K81="",0,$U$81))</f>
        <v>0</v>
      </c>
      <c r="W81" s="175">
        <f>V81</f>
        <v>0</v>
      </c>
    </row>
    <row r="82" spans="1:23" ht="6.75" customHeight="1" x14ac:dyDescent="0.2">
      <c r="A82" s="132"/>
      <c r="B82" s="132"/>
      <c r="C82" s="132"/>
      <c r="D82" s="171"/>
      <c r="E82" s="171"/>
      <c r="F82" s="187"/>
      <c r="G82" s="187"/>
      <c r="H82" s="187"/>
      <c r="I82" s="187"/>
      <c r="J82" s="187"/>
      <c r="K82" s="7"/>
      <c r="L82" s="438"/>
      <c r="M82" s="437"/>
      <c r="N82" s="437"/>
      <c r="O82" s="437"/>
      <c r="P82" s="437"/>
      <c r="Q82" s="437"/>
      <c r="R82" s="437"/>
      <c r="S82" s="132"/>
      <c r="T82" s="138"/>
      <c r="U82" s="175"/>
      <c r="V82" s="175"/>
      <c r="W82" s="175"/>
    </row>
    <row r="83" spans="1:23" x14ac:dyDescent="0.2">
      <c r="A83" s="132"/>
      <c r="B83" s="132"/>
      <c r="C83" s="132"/>
      <c r="D83" s="171"/>
      <c r="E83" s="171"/>
      <c r="F83" s="551" t="s">
        <v>298</v>
      </c>
      <c r="G83" s="551"/>
      <c r="H83" s="551"/>
      <c r="I83" s="551"/>
      <c r="J83" s="551"/>
      <c r="K83" s="20"/>
      <c r="L83" s="438"/>
      <c r="M83" s="437"/>
      <c r="N83" s="437"/>
      <c r="O83" s="437"/>
      <c r="P83" s="437"/>
      <c r="Q83" s="437"/>
      <c r="R83" s="437"/>
      <c r="S83" s="132"/>
      <c r="T83" s="138"/>
      <c r="U83" s="175"/>
      <c r="V83" s="175"/>
      <c r="W83" s="175">
        <f>IF($T$81&gt;1,0,IF(K83="",0,$U$81))</f>
        <v>0</v>
      </c>
    </row>
    <row r="84" spans="1:23" ht="6.75" customHeight="1" x14ac:dyDescent="0.2">
      <c r="A84" s="132"/>
      <c r="B84" s="132"/>
      <c r="C84" s="132"/>
      <c r="D84" s="171"/>
      <c r="E84" s="171"/>
      <c r="F84" s="551"/>
      <c r="G84" s="551"/>
      <c r="H84" s="551"/>
      <c r="I84" s="551"/>
      <c r="J84" s="551"/>
      <c r="K84" s="7"/>
      <c r="L84" s="438"/>
      <c r="M84" s="438"/>
      <c r="N84" s="438"/>
      <c r="O84" s="438"/>
      <c r="P84" s="438"/>
      <c r="Q84" s="132"/>
      <c r="R84" s="132"/>
      <c r="S84" s="132"/>
      <c r="U84" s="189" t="s">
        <v>303</v>
      </c>
      <c r="V84" s="189">
        <f>SUM(V81:V83)</f>
        <v>0</v>
      </c>
      <c r="W84" s="189">
        <f>SUM(W81:W83)</f>
        <v>0</v>
      </c>
    </row>
    <row r="85" spans="1:23" ht="38.25" x14ac:dyDescent="0.2">
      <c r="A85" s="132"/>
      <c r="B85" s="188" t="s">
        <v>299</v>
      </c>
      <c r="C85" s="188"/>
      <c r="D85" s="188" t="s">
        <v>300</v>
      </c>
      <c r="E85" s="188"/>
      <c r="F85" s="188" t="s">
        <v>301</v>
      </c>
      <c r="G85" s="188"/>
      <c r="H85" s="188" t="s">
        <v>302</v>
      </c>
      <c r="I85" s="132"/>
      <c r="J85" s="132"/>
      <c r="K85" s="132"/>
      <c r="L85" s="132"/>
      <c r="M85" s="132"/>
      <c r="N85" s="132"/>
      <c r="O85" s="132"/>
      <c r="P85" s="132"/>
      <c r="Q85" s="132"/>
      <c r="R85" s="132"/>
      <c r="S85" s="132"/>
      <c r="U85" s="175"/>
      <c r="V85" s="175"/>
      <c r="W85" s="178"/>
    </row>
    <row r="86" spans="1:23" x14ac:dyDescent="0.2">
      <c r="A86" s="132"/>
      <c r="B86" s="12" t="s">
        <v>337</v>
      </c>
      <c r="C86" s="12"/>
      <c r="D86" s="50" t="s">
        <v>338</v>
      </c>
      <c r="E86" s="132"/>
      <c r="F86" s="190"/>
      <c r="G86" s="132"/>
      <c r="H86" s="134">
        <f>IF($O$79="",F86,IF($U$79=0,"ERRO",IF($U$79="O ano não está correto para o intervalo","ERRO",IF($O$79=2018,F86,ROUND((F86/$U$79)*3.2939,2)))))</f>
        <v>0</v>
      </c>
      <c r="I86" s="132"/>
      <c r="J86" s="132"/>
      <c r="K86" s="132"/>
      <c r="L86" s="132"/>
      <c r="M86" s="132"/>
      <c r="N86" s="132"/>
      <c r="O86" s="132"/>
      <c r="P86" s="132"/>
      <c r="Q86" s="132"/>
      <c r="R86" s="132"/>
      <c r="S86" s="132"/>
    </row>
    <row r="87" spans="1:23" ht="6.75" customHeight="1" x14ac:dyDescent="0.2">
      <c r="A87" s="132"/>
      <c r="B87" s="132"/>
      <c r="C87" s="132"/>
      <c r="D87" s="132"/>
      <c r="E87" s="132"/>
      <c r="F87" s="166"/>
      <c r="G87" s="132"/>
      <c r="H87" s="134"/>
      <c r="I87" s="132"/>
      <c r="J87" s="132"/>
      <c r="K87" s="132"/>
      <c r="L87" s="132"/>
      <c r="M87" s="132"/>
      <c r="N87" s="132"/>
      <c r="O87" s="132"/>
      <c r="P87" s="132"/>
      <c r="Q87" s="132"/>
      <c r="R87" s="132"/>
      <c r="S87" s="132"/>
    </row>
    <row r="88" spans="1:23" ht="12.75" customHeight="1" x14ac:dyDescent="0.2">
      <c r="A88" s="132"/>
      <c r="B88" s="166" t="s">
        <v>307</v>
      </c>
      <c r="C88" s="132"/>
      <c r="D88" s="166" t="s">
        <v>339</v>
      </c>
      <c r="E88" s="132"/>
      <c r="F88" s="190"/>
      <c r="G88" s="132"/>
      <c r="H88" s="134">
        <f>IF($O$79="",F88,IF($U$79=0,"ERRO",IF($U$79="O ano não está correto para o intervalo","ERRO",IF($O$79=2018,F88,ROUND((F88/$U$79)*3.2939,2)))))</f>
        <v>0</v>
      </c>
      <c r="I88" s="132"/>
      <c r="J88" s="132"/>
      <c r="K88" s="132"/>
      <c r="L88" s="132"/>
      <c r="M88" s="132"/>
      <c r="N88" s="132"/>
      <c r="O88" s="132"/>
      <c r="P88" s="132"/>
      <c r="Q88" s="132"/>
      <c r="R88" s="132"/>
      <c r="S88" s="132"/>
    </row>
    <row r="89" spans="1:23" ht="6.75" customHeight="1" x14ac:dyDescent="0.2">
      <c r="A89" s="132"/>
      <c r="B89" s="132"/>
      <c r="C89" s="132"/>
      <c r="D89" s="132"/>
      <c r="E89" s="132"/>
      <c r="F89" s="166"/>
      <c r="G89" s="132"/>
      <c r="H89" s="134"/>
      <c r="I89" s="132"/>
      <c r="J89" s="132"/>
      <c r="K89" s="132"/>
      <c r="L89" s="132"/>
      <c r="M89" s="132"/>
      <c r="N89" s="132"/>
      <c r="O89" s="132"/>
      <c r="P89" s="132"/>
      <c r="Q89" s="132"/>
      <c r="R89" s="132"/>
      <c r="S89" s="132"/>
    </row>
    <row r="90" spans="1:23" x14ac:dyDescent="0.2">
      <c r="A90" s="132"/>
      <c r="B90" s="12" t="s">
        <v>317</v>
      </c>
      <c r="C90" s="132"/>
      <c r="D90" s="50" t="s">
        <v>318</v>
      </c>
      <c r="E90" s="132"/>
      <c r="F90" s="190"/>
      <c r="G90" s="132"/>
      <c r="H90" s="134">
        <f>IF($O$79="",F90,IF($U$79=0,"ERRO",IF($U$79="O ano não está correto para o intervalo","ERRO",IF($O$79=2018,F90,ROUND((F90/$U$79)*3.2939,2)))))</f>
        <v>0</v>
      </c>
      <c r="I90" s="132"/>
      <c r="J90" s="132"/>
      <c r="K90" s="132"/>
      <c r="L90" s="132"/>
      <c r="M90" s="132"/>
      <c r="N90" s="132"/>
      <c r="O90" s="132"/>
      <c r="P90" s="132"/>
      <c r="Q90" s="132"/>
      <c r="R90" s="132"/>
      <c r="S90" s="132"/>
    </row>
    <row r="91" spans="1:23" ht="6.75" customHeight="1" x14ac:dyDescent="0.2">
      <c r="A91" s="132"/>
      <c r="B91" s="132"/>
      <c r="C91" s="132"/>
      <c r="D91" s="132"/>
      <c r="E91" s="132"/>
      <c r="F91" s="187"/>
      <c r="G91" s="132"/>
      <c r="H91" s="134"/>
      <c r="I91" s="132"/>
      <c r="J91" s="132"/>
      <c r="K91" s="132"/>
      <c r="L91" s="132"/>
      <c r="M91" s="132"/>
      <c r="N91" s="132"/>
      <c r="O91" s="132"/>
      <c r="P91" s="132"/>
      <c r="Q91" s="132"/>
      <c r="R91" s="132"/>
      <c r="S91" s="132"/>
    </row>
    <row r="92" spans="1:23" x14ac:dyDescent="0.2">
      <c r="A92" s="132"/>
      <c r="B92" s="12" t="s">
        <v>325</v>
      </c>
      <c r="C92" s="132"/>
      <c r="D92" s="50" t="s">
        <v>326</v>
      </c>
      <c r="E92" s="132"/>
      <c r="F92" s="190"/>
      <c r="G92" s="132"/>
      <c r="H92" s="134">
        <f>IF($O$79="",F92,IF($U$79=0,"ERRO",IF($U$79="O ano não está correto para o intervalo","ERRO",IF($O$79=2018,F92,ROUND((F92/$U$79)*3.2939,2)))))</f>
        <v>0</v>
      </c>
      <c r="I92" s="132"/>
      <c r="J92" s="132"/>
      <c r="K92" s="132"/>
      <c r="L92" s="132"/>
      <c r="M92" s="132"/>
      <c r="N92" s="132"/>
      <c r="O92" s="132"/>
      <c r="P92" s="132"/>
      <c r="Q92" s="132"/>
      <c r="R92" s="132"/>
      <c r="S92" s="132"/>
    </row>
    <row r="93" spans="1:23" ht="6.75" customHeight="1" x14ac:dyDescent="0.2">
      <c r="A93" s="132"/>
      <c r="B93" s="12"/>
      <c r="C93" s="50"/>
      <c r="D93" s="132"/>
      <c r="E93" s="132"/>
      <c r="F93" s="187"/>
      <c r="G93" s="132"/>
      <c r="H93" s="134"/>
      <c r="I93" s="132"/>
      <c r="J93" s="132"/>
      <c r="K93" s="132"/>
      <c r="L93" s="132"/>
      <c r="M93" s="132"/>
      <c r="N93" s="132"/>
      <c r="O93" s="132"/>
      <c r="P93" s="132"/>
      <c r="Q93" s="132"/>
      <c r="R93" s="132"/>
      <c r="S93" s="132"/>
    </row>
    <row r="94" spans="1:23" x14ac:dyDescent="0.2">
      <c r="A94" s="132"/>
      <c r="B94" s="12" t="s">
        <v>327</v>
      </c>
      <c r="C94" s="132"/>
      <c r="D94" s="50" t="s">
        <v>328</v>
      </c>
      <c r="E94" s="132"/>
      <c r="F94" s="190"/>
      <c r="G94" s="132"/>
      <c r="H94" s="134">
        <f>IF($O$79="",F94,IF($U$79=0,"ERRO",IF($U$79="O ano não está correto para o intervalo","ERRO",IF($O$79=2018,F94,ROUND((F94/$U$79)*3.2939,2)))))</f>
        <v>0</v>
      </c>
      <c r="I94" s="132"/>
      <c r="J94" s="132"/>
      <c r="K94" s="132"/>
      <c r="L94" s="132"/>
      <c r="M94" s="132"/>
      <c r="N94" s="132"/>
      <c r="O94" s="132"/>
      <c r="P94" s="132"/>
      <c r="Q94" s="132"/>
      <c r="R94" s="132"/>
      <c r="S94" s="132"/>
    </row>
    <row r="95" spans="1:23" x14ac:dyDescent="0.2">
      <c r="A95" s="132"/>
      <c r="B95" s="132"/>
      <c r="C95" s="132"/>
      <c r="D95" s="132"/>
      <c r="E95" s="132"/>
      <c r="F95" s="132"/>
      <c r="G95" s="132"/>
      <c r="H95" s="132"/>
      <c r="I95" s="132"/>
      <c r="J95" s="132"/>
      <c r="K95" s="132"/>
      <c r="L95" s="132"/>
      <c r="M95" s="132"/>
      <c r="N95" s="132"/>
      <c r="O95" s="132"/>
      <c r="P95" s="132"/>
      <c r="Q95" s="132"/>
      <c r="R95" s="132"/>
      <c r="S95" s="132"/>
    </row>
    <row r="96" spans="1:23" ht="1.5" customHeight="1" x14ac:dyDescent="0.2"/>
    <row r="97" spans="1:23" ht="4.5" customHeight="1" x14ac:dyDescent="0.2">
      <c r="A97" s="173"/>
      <c r="B97" s="138"/>
      <c r="C97" s="138"/>
      <c r="D97" s="138"/>
      <c r="T97" s="139"/>
      <c r="U97" s="139"/>
      <c r="V97" s="139"/>
      <c r="W97" s="139"/>
    </row>
    <row r="98" spans="1:23" x14ac:dyDescent="0.2">
      <c r="A98" s="173"/>
      <c r="B98" s="138"/>
      <c r="C98" s="138"/>
      <c r="D98" s="138"/>
      <c r="T98" s="139"/>
      <c r="U98" s="139"/>
      <c r="V98" s="139"/>
      <c r="W98" s="139"/>
    </row>
  </sheetData>
  <mergeCells count="21">
    <mergeCell ref="I40:R40"/>
    <mergeCell ref="I41:R41"/>
    <mergeCell ref="G79:I79"/>
    <mergeCell ref="F81:J81"/>
    <mergeCell ref="M81:R81"/>
    <mergeCell ref="F83:J83"/>
    <mergeCell ref="F84:J84"/>
    <mergeCell ref="I38:R38"/>
    <mergeCell ref="B3:R3"/>
    <mergeCell ref="B4:R4"/>
    <mergeCell ref="G7:I7"/>
    <mergeCell ref="G9:I9"/>
    <mergeCell ref="J11:R11"/>
    <mergeCell ref="F13:J13"/>
    <mergeCell ref="M13:R13"/>
    <mergeCell ref="F15:J15"/>
    <mergeCell ref="F17:J17"/>
    <mergeCell ref="I35:R35"/>
    <mergeCell ref="I36:R36"/>
    <mergeCell ref="I37:R37"/>
    <mergeCell ref="I39:R39"/>
  </mergeCells>
  <conditionalFormatting sqref="H20:H78 H86:H94">
    <cfRule type="cellIs" dxfId="47" priority="1" stopIfTrue="1" operator="equal">
      <formula>"ERRO"</formula>
    </cfRule>
    <cfRule type="cellIs" dxfId="46" priority="2" stopIfTrue="1" operator="equal">
      <formula>0</formula>
    </cfRule>
  </conditionalFormatting>
  <conditionalFormatting sqref="W79 W85 J19 W9:W11">
    <cfRule type="cellIs" dxfId="45" priority="3" stopIfTrue="1" operator="equal">
      <formula>0</formula>
    </cfRule>
    <cfRule type="cellIs" dxfId="44" priority="4" stopIfTrue="1" operator="equal">
      <formula>"O ano não está correto para o intervalo"</formula>
    </cfRule>
  </conditionalFormatting>
  <conditionalFormatting sqref="F77:G78">
    <cfRule type="cellIs" dxfId="43" priority="5" stopIfTrue="1" operator="equal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77" firstPageNumber="0" orientation="landscape" r:id="rId1"/>
  <headerFooter alignWithMargins="0">
    <oddHeader>&amp;L&amp;G&amp;CTRIBUNAL DE JUSTIÇA DO ESTADO DO RIO DE JANEIRO 
CENTRAL DE ARQUIVAMENTO NUR1</oddHeader>
    <oddFooter>&amp;LFRM-CARQ-002-01&amp;CREV.: 00               Data: 20/04/2018&amp;R&amp;P</oddFooter>
  </headerFooter>
  <rowBreaks count="1" manualBreakCount="1">
    <brk id="51" max="18" man="1"/>
  </rowBreak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7"/>
  <sheetViews>
    <sheetView showGridLines="0" view="pageBreakPreview" topLeftCell="A52" zoomScaleNormal="100" zoomScaleSheetLayoutView="100" workbookViewId="0">
      <selection activeCell="H101" sqref="H101"/>
    </sheetView>
  </sheetViews>
  <sheetFormatPr defaultRowHeight="12.75" x14ac:dyDescent="0.2"/>
  <cols>
    <col min="1" max="1" width="3.85546875" style="139" customWidth="1"/>
    <col min="2" max="2" width="12.7109375" style="139" customWidth="1"/>
    <col min="3" max="3" width="1.28515625" style="139" customWidth="1"/>
    <col min="4" max="4" width="32.140625" style="139" customWidth="1"/>
    <col min="5" max="5" width="1.28515625" style="139" customWidth="1"/>
    <col min="6" max="6" width="14.140625" style="139" customWidth="1"/>
    <col min="7" max="7" width="1.28515625" style="139" customWidth="1"/>
    <col min="8" max="8" width="12.5703125" style="139" customWidth="1"/>
    <col min="9" max="9" width="10.7109375" style="139" customWidth="1"/>
    <col min="10" max="10" width="19.42578125" style="139" customWidth="1"/>
    <col min="11" max="11" width="3.7109375" style="139" customWidth="1"/>
    <col min="12" max="12" width="1.85546875" style="139" customWidth="1"/>
    <col min="13" max="13" width="3.85546875" style="139" customWidth="1"/>
    <col min="14" max="14" width="1.7109375" style="139" customWidth="1"/>
    <col min="15" max="15" width="5.7109375" style="139" customWidth="1"/>
    <col min="16" max="16" width="1.140625" style="139" customWidth="1"/>
    <col min="17" max="18" width="9.140625" style="139"/>
    <col min="19" max="19" width="5.7109375" style="139" customWidth="1"/>
    <col min="20" max="20" width="9.140625" style="173" hidden="1" customWidth="1"/>
    <col min="21" max="23" width="9.140625" style="138" hidden="1" customWidth="1"/>
    <col min="24" max="24" width="9.140625" style="139" hidden="1" customWidth="1"/>
    <col min="25" max="27" width="9.140625" style="139" customWidth="1"/>
    <col min="28" max="16384" width="9.140625" style="139"/>
  </cols>
  <sheetData>
    <row r="1" spans="1:23" x14ac:dyDescent="0.2">
      <c r="A1" s="132"/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74"/>
      <c r="U1" s="175"/>
      <c r="V1" s="175"/>
      <c r="W1" s="175"/>
    </row>
    <row r="2" spans="1:23" ht="3" customHeight="1" x14ac:dyDescent="0.2">
      <c r="A2" s="132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32"/>
    </row>
    <row r="3" spans="1:23" ht="22.5" x14ac:dyDescent="0.45">
      <c r="A3" s="132"/>
      <c r="B3" s="535" t="s">
        <v>289</v>
      </c>
      <c r="C3" s="535"/>
      <c r="D3" s="535"/>
      <c r="E3" s="535"/>
      <c r="F3" s="535"/>
      <c r="G3" s="535"/>
      <c r="H3" s="535"/>
      <c r="I3" s="535"/>
      <c r="J3" s="535"/>
      <c r="K3" s="535"/>
      <c r="L3" s="535"/>
      <c r="M3" s="535"/>
      <c r="N3" s="535"/>
      <c r="O3" s="535"/>
      <c r="P3" s="535"/>
      <c r="Q3" s="535"/>
      <c r="R3" s="535"/>
      <c r="S3" s="132"/>
      <c r="U3" s="175"/>
    </row>
    <row r="4" spans="1:23" ht="15.75" x14ac:dyDescent="0.25">
      <c r="A4" s="132"/>
      <c r="B4" s="543" t="s">
        <v>373</v>
      </c>
      <c r="C4" s="543"/>
      <c r="D4" s="543"/>
      <c r="E4" s="543"/>
      <c r="F4" s="543"/>
      <c r="G4" s="543"/>
      <c r="H4" s="543"/>
      <c r="I4" s="543"/>
      <c r="J4" s="543"/>
      <c r="K4" s="543"/>
      <c r="L4" s="543"/>
      <c r="M4" s="543"/>
      <c r="N4" s="543"/>
      <c r="O4" s="543"/>
      <c r="P4" s="543"/>
      <c r="Q4" s="543"/>
      <c r="R4" s="543"/>
      <c r="S4" s="132"/>
    </row>
    <row r="5" spans="1:23" ht="3" customHeight="1" x14ac:dyDescent="0.2">
      <c r="A5" s="132"/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32"/>
    </row>
    <row r="6" spans="1:23" x14ac:dyDescent="0.2">
      <c r="A6" s="132"/>
      <c r="B6" s="132"/>
      <c r="C6" s="132"/>
      <c r="D6" s="132"/>
      <c r="E6" s="132"/>
      <c r="F6" s="157"/>
      <c r="G6" s="157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</row>
    <row r="7" spans="1:23" x14ac:dyDescent="0.2">
      <c r="A7" s="132"/>
      <c r="B7" s="132"/>
      <c r="C7" s="132"/>
      <c r="D7" s="132"/>
      <c r="E7" s="132"/>
      <c r="F7" s="171" t="s">
        <v>4</v>
      </c>
      <c r="G7" s="549" t="str">
        <f>IF('Atos Serv. Jud. Lei. 6369'!H7="","",'Atos Serv. Jud. Lei. 6369'!H7)</f>
        <v/>
      </c>
      <c r="H7" s="549"/>
      <c r="I7" s="549"/>
      <c r="J7" s="176"/>
      <c r="K7" s="176"/>
      <c r="L7" s="176"/>
      <c r="M7" s="176"/>
      <c r="N7" s="176"/>
      <c r="O7" s="176"/>
      <c r="P7" s="176"/>
      <c r="Q7" s="132"/>
      <c r="R7" s="132"/>
      <c r="S7" s="132"/>
      <c r="U7" s="175"/>
      <c r="V7" s="177"/>
      <c r="W7" s="178"/>
    </row>
    <row r="8" spans="1:23" ht="6.75" customHeight="1" x14ac:dyDescent="0.2">
      <c r="A8" s="132"/>
      <c r="B8" s="132"/>
      <c r="C8" s="132"/>
      <c r="D8" s="132"/>
      <c r="E8" s="132"/>
      <c r="F8" s="179"/>
      <c r="G8" s="157"/>
      <c r="H8" s="132"/>
      <c r="I8" s="157"/>
      <c r="J8" s="157"/>
      <c r="K8" s="157"/>
      <c r="L8" s="157"/>
      <c r="M8" s="157"/>
      <c r="N8" s="157"/>
      <c r="O8" s="157"/>
      <c r="P8" s="157"/>
      <c r="Q8" s="132"/>
      <c r="R8" s="132"/>
      <c r="S8" s="132"/>
      <c r="V8" s="175"/>
    </row>
    <row r="9" spans="1:23" x14ac:dyDescent="0.2">
      <c r="A9" s="132"/>
      <c r="B9" s="132"/>
      <c r="C9" s="132"/>
      <c r="D9" s="132"/>
      <c r="E9" s="132"/>
      <c r="F9" s="171" t="s">
        <v>290</v>
      </c>
      <c r="G9" s="550"/>
      <c r="H9" s="550"/>
      <c r="I9" s="550"/>
      <c r="J9" s="180" t="s">
        <v>291</v>
      </c>
      <c r="K9" s="110"/>
      <c r="L9" s="181" t="s">
        <v>292</v>
      </c>
      <c r="M9" s="182"/>
      <c r="N9" s="181" t="s">
        <v>292</v>
      </c>
      <c r="O9" s="182"/>
      <c r="P9" s="183"/>
      <c r="Q9" s="171" t="s">
        <v>293</v>
      </c>
      <c r="R9" s="184"/>
      <c r="S9" s="132"/>
      <c r="U9" s="99">
        <f>IF(O9=0,0,IF(O9=1999,0.977,IF(O9=2000,1.0641,IF(O9=2001,1.1283,IF(O9=2002,1.213,IF(O9=2003,1.3584,IF(O9=2004,1.4924,IF(O9=2005,1.6049,V9))))))))</f>
        <v>0</v>
      </c>
      <c r="V9" s="5" t="str">
        <f>IF(O9=2006,1.6992,IF(O9=2007,1.7495,IF(O9=2008,1.8258,IF(O9=2009,1.9372,IF(O9=2010,2.0183,IF(O9=2011,2.1352,IF(O9=2012,2.2752,IF(O9=2013,2.4066,W9))))))))</f>
        <v>O ano não está correto para o intervalo</v>
      </c>
      <c r="W9" s="178" t="str">
        <f>IF(O9=2014,2.5473,IF(O9=2015,2.7119,IF(O9=2016,3.0023,IF(O9=2017,3.1999,IF(O9=2018,1,"O ano não está correto para o intervalo")))))</f>
        <v>O ano não está correto para o intervalo</v>
      </c>
    </row>
    <row r="10" spans="1:23" ht="6.75" customHeight="1" x14ac:dyDescent="0.2">
      <c r="A10" s="132"/>
      <c r="B10" s="132"/>
      <c r="C10" s="132"/>
      <c r="D10" s="132"/>
      <c r="E10" s="132"/>
      <c r="F10" s="171"/>
      <c r="G10" s="185"/>
      <c r="H10" s="185"/>
      <c r="I10" s="185"/>
      <c r="J10" s="180"/>
      <c r="K10" s="186"/>
      <c r="L10" s="181"/>
      <c r="M10" s="183"/>
      <c r="N10" s="181"/>
      <c r="O10" s="183"/>
      <c r="P10" s="183"/>
      <c r="Q10" s="171"/>
      <c r="R10" s="132"/>
      <c r="S10" s="132"/>
      <c r="U10" s="175"/>
      <c r="V10" s="175"/>
      <c r="W10" s="178"/>
    </row>
    <row r="11" spans="1:23" x14ac:dyDescent="0.2">
      <c r="A11" s="132"/>
      <c r="B11" s="132"/>
      <c r="C11" s="132"/>
      <c r="D11" s="132"/>
      <c r="E11" s="132"/>
      <c r="F11" s="171"/>
      <c r="G11" s="185"/>
      <c r="H11" s="185"/>
      <c r="I11" s="185"/>
      <c r="J11" s="547" t="str">
        <f>IF(U9="O ano não está correto para o intervalo","O ano não está correto para o intervalo","")</f>
        <v/>
      </c>
      <c r="K11" s="547"/>
      <c r="L11" s="547"/>
      <c r="M11" s="547"/>
      <c r="N11" s="547"/>
      <c r="O11" s="547"/>
      <c r="P11" s="547"/>
      <c r="Q11" s="547"/>
      <c r="R11" s="547"/>
      <c r="S11" s="132"/>
      <c r="U11" s="175"/>
      <c r="V11" s="175"/>
      <c r="W11" s="178"/>
    </row>
    <row r="12" spans="1:23" ht="6.75" customHeight="1" x14ac:dyDescent="0.2">
      <c r="A12" s="132"/>
      <c r="B12" s="132"/>
      <c r="C12" s="132"/>
      <c r="D12" s="132"/>
      <c r="E12" s="132"/>
      <c r="F12" s="132"/>
      <c r="G12" s="132"/>
      <c r="H12" s="171"/>
      <c r="I12" s="438"/>
      <c r="J12" s="438"/>
      <c r="K12" s="438"/>
      <c r="L12" s="438"/>
      <c r="M12" s="438"/>
      <c r="N12" s="438"/>
      <c r="O12" s="438"/>
      <c r="P12" s="438"/>
      <c r="Q12" s="132"/>
      <c r="R12" s="132"/>
      <c r="S12" s="132"/>
      <c r="V12" s="175" t="s">
        <v>294</v>
      </c>
      <c r="W12" s="175" t="s">
        <v>295</v>
      </c>
    </row>
    <row r="13" spans="1:23" ht="12.75" customHeight="1" x14ac:dyDescent="0.2">
      <c r="A13" s="132"/>
      <c r="B13" s="132"/>
      <c r="C13" s="132"/>
      <c r="D13" s="132"/>
      <c r="E13" s="132"/>
      <c r="F13" s="551" t="s">
        <v>296</v>
      </c>
      <c r="G13" s="551"/>
      <c r="H13" s="551"/>
      <c r="I13" s="551"/>
      <c r="J13" s="551"/>
      <c r="K13" s="20"/>
      <c r="L13" s="438"/>
      <c r="M13" s="512" t="str">
        <f>IF(T13&gt;1,"Escolher uma opção","")</f>
        <v/>
      </c>
      <c r="N13" s="512"/>
      <c r="O13" s="512"/>
      <c r="P13" s="512"/>
      <c r="Q13" s="512"/>
      <c r="R13" s="512"/>
      <c r="S13" s="132"/>
      <c r="T13" s="138">
        <f>COUNTA(K13,K15,K17)</f>
        <v>0</v>
      </c>
      <c r="U13" s="175">
        <f>(H20+H24+H26+H28+H30+H32+H35+H37+H41)*0.05</f>
        <v>0</v>
      </c>
      <c r="V13" s="175">
        <f>IF($T$13&gt;1,0,IF(K13="",0,$U$13))</f>
        <v>0</v>
      </c>
      <c r="W13" s="175">
        <f>V13</f>
        <v>0</v>
      </c>
    </row>
    <row r="14" spans="1:23" ht="6.75" customHeight="1" x14ac:dyDescent="0.2">
      <c r="A14" s="132"/>
      <c r="B14" s="132"/>
      <c r="C14" s="132"/>
      <c r="D14" s="132"/>
      <c r="E14" s="132"/>
      <c r="F14" s="187"/>
      <c r="G14" s="187"/>
      <c r="H14" s="187"/>
      <c r="I14" s="187"/>
      <c r="J14" s="187"/>
      <c r="K14" s="7"/>
      <c r="L14" s="438"/>
      <c r="M14" s="437"/>
      <c r="N14" s="437"/>
      <c r="O14" s="437"/>
      <c r="P14" s="437"/>
      <c r="Q14" s="437"/>
      <c r="R14" s="437"/>
      <c r="S14" s="132"/>
      <c r="T14" s="138"/>
      <c r="U14" s="175"/>
      <c r="V14" s="175"/>
      <c r="W14" s="175"/>
    </row>
    <row r="15" spans="1:23" ht="12.75" customHeight="1" x14ac:dyDescent="0.2">
      <c r="A15" s="132"/>
      <c r="B15" s="132"/>
      <c r="C15" s="132"/>
      <c r="D15" s="132"/>
      <c r="E15" s="132"/>
      <c r="F15" s="551" t="s">
        <v>297</v>
      </c>
      <c r="G15" s="551"/>
      <c r="H15" s="551"/>
      <c r="I15" s="551"/>
      <c r="J15" s="551"/>
      <c r="K15" s="20"/>
      <c r="L15" s="438"/>
      <c r="M15" s="437"/>
      <c r="N15" s="437"/>
      <c r="O15" s="437"/>
      <c r="P15" s="437"/>
      <c r="Q15" s="437"/>
      <c r="R15" s="437"/>
      <c r="S15" s="132"/>
      <c r="T15" s="138"/>
      <c r="U15" s="175"/>
      <c r="V15" s="175">
        <f>IF(T13&gt;1,0,IF(K15="",0,$U$13-$U$17))</f>
        <v>0</v>
      </c>
      <c r="W15" s="175">
        <f>IF($T$13&gt;1,0,IF(K15="",0,$U$13))</f>
        <v>0</v>
      </c>
    </row>
    <row r="16" spans="1:23" ht="6.75" customHeight="1" x14ac:dyDescent="0.2">
      <c r="A16" s="132"/>
      <c r="B16" s="132"/>
      <c r="C16" s="132"/>
      <c r="D16" s="132"/>
      <c r="E16" s="132"/>
      <c r="F16" s="132"/>
      <c r="G16" s="132"/>
      <c r="H16" s="171"/>
      <c r="I16" s="438"/>
      <c r="J16" s="438"/>
      <c r="K16" s="7"/>
      <c r="L16" s="438"/>
      <c r="M16" s="438"/>
      <c r="N16" s="438"/>
      <c r="O16" s="438"/>
      <c r="P16" s="438"/>
      <c r="Q16" s="132"/>
      <c r="R16" s="132"/>
      <c r="S16" s="132"/>
      <c r="U16" s="175"/>
      <c r="V16" s="175"/>
      <c r="W16" s="175"/>
    </row>
    <row r="17" spans="1:23" ht="12.75" customHeight="1" x14ac:dyDescent="0.2">
      <c r="A17" s="132"/>
      <c r="B17" s="132"/>
      <c r="C17" s="132"/>
      <c r="D17" s="132"/>
      <c r="E17" s="132"/>
      <c r="F17" s="551" t="s">
        <v>298</v>
      </c>
      <c r="G17" s="551"/>
      <c r="H17" s="551"/>
      <c r="I17" s="551"/>
      <c r="J17" s="551"/>
      <c r="K17" s="20"/>
      <c r="L17" s="438"/>
      <c r="M17" s="438"/>
      <c r="N17" s="438"/>
      <c r="O17" s="438"/>
      <c r="P17" s="438"/>
      <c r="Q17" s="132"/>
      <c r="R17" s="132"/>
      <c r="S17" s="132"/>
      <c r="U17" s="175">
        <f>(H20+H24+H26+H28+H30+H32+H35+H37)*0.05</f>
        <v>0</v>
      </c>
      <c r="V17" s="175">
        <f>IF(T13&gt;1,0,IF(K17="",0,$U$13-$U$17))</f>
        <v>0</v>
      </c>
      <c r="W17" s="175"/>
    </row>
    <row r="18" spans="1:23" ht="6.75" customHeight="1" x14ac:dyDescent="0.2">
      <c r="A18" s="132"/>
      <c r="B18" s="132"/>
      <c r="C18" s="132"/>
      <c r="D18" s="132"/>
      <c r="E18" s="132"/>
      <c r="F18" s="132"/>
      <c r="G18" s="132"/>
      <c r="H18" s="171"/>
      <c r="I18" s="438"/>
      <c r="J18" s="438"/>
      <c r="K18" s="438"/>
      <c r="L18" s="438"/>
      <c r="M18" s="438"/>
      <c r="N18" s="438"/>
      <c r="O18" s="438"/>
      <c r="P18" s="438"/>
      <c r="Q18" s="132"/>
      <c r="R18" s="132"/>
      <c r="S18" s="132"/>
    </row>
    <row r="19" spans="1:23" ht="38.25" x14ac:dyDescent="0.2">
      <c r="A19" s="132"/>
      <c r="B19" s="188" t="s">
        <v>299</v>
      </c>
      <c r="C19" s="188"/>
      <c r="D19" s="188" t="s">
        <v>300</v>
      </c>
      <c r="E19" s="188"/>
      <c r="F19" s="188" t="s">
        <v>301</v>
      </c>
      <c r="G19" s="188"/>
      <c r="H19" s="188" t="s">
        <v>302</v>
      </c>
      <c r="I19" s="132"/>
      <c r="J19" s="158"/>
      <c r="K19" s="132"/>
      <c r="L19" s="132"/>
      <c r="M19" s="132"/>
      <c r="N19" s="132"/>
      <c r="O19" s="132"/>
      <c r="P19" s="132"/>
      <c r="Q19" s="132"/>
      <c r="R19" s="132"/>
      <c r="S19" s="132"/>
      <c r="U19" s="189" t="s">
        <v>303</v>
      </c>
      <c r="V19" s="189">
        <f>SUM(V13:V17)</f>
        <v>0</v>
      </c>
      <c r="W19" s="189">
        <f>SUM(W13:W17)</f>
        <v>0</v>
      </c>
    </row>
    <row r="20" spans="1:23" x14ac:dyDescent="0.2">
      <c r="A20" s="132"/>
      <c r="B20" s="12" t="s">
        <v>304</v>
      </c>
      <c r="C20" s="12"/>
      <c r="D20" s="50" t="s">
        <v>305</v>
      </c>
      <c r="E20" s="50"/>
      <c r="F20" s="190"/>
      <c r="G20" s="439"/>
      <c r="H20" s="134">
        <f>IF($O$9="",F20,IF($U$9=0,"ERRO",IF($U$9="O ano não está correto para o intervalo","ERRO",IF($O$9=2018,F20,ROUND((F20/$U$9)*3.2939,2)))))</f>
        <v>0</v>
      </c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132"/>
    </row>
    <row r="21" spans="1:23" ht="6.75" customHeight="1" x14ac:dyDescent="0.2">
      <c r="A21" s="132"/>
      <c r="B21" s="12"/>
      <c r="C21" s="12"/>
      <c r="D21" s="50"/>
      <c r="E21" s="50"/>
      <c r="F21" s="439"/>
      <c r="G21" s="439"/>
      <c r="H21" s="134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</row>
    <row r="22" spans="1:23" x14ac:dyDescent="0.2">
      <c r="A22" s="132"/>
      <c r="B22" s="12"/>
      <c r="C22" s="12"/>
      <c r="D22" s="50" t="s">
        <v>306</v>
      </c>
      <c r="E22" s="50"/>
      <c r="F22" s="190"/>
      <c r="G22" s="439"/>
      <c r="H22" s="134">
        <f>IF($O$9="",F22,IF($U$9=0,"ERRO",IF($U$9="O ano não está correto para o intervalo","ERRO",IF($O$9=2018,F22,ROUND((F22/$U$9)*3.2939,2)))))</f>
        <v>0</v>
      </c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</row>
    <row r="23" spans="1:23" ht="6.75" customHeight="1" x14ac:dyDescent="0.2">
      <c r="A23" s="132"/>
      <c r="B23" s="12"/>
      <c r="C23" s="12"/>
      <c r="D23" s="50"/>
      <c r="E23" s="50"/>
      <c r="F23" s="439"/>
      <c r="G23" s="439"/>
      <c r="H23" s="134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</row>
    <row r="24" spans="1:23" x14ac:dyDescent="0.2">
      <c r="A24" s="132"/>
      <c r="B24" s="12" t="s">
        <v>307</v>
      </c>
      <c r="C24" s="12"/>
      <c r="D24" s="50" t="s">
        <v>308</v>
      </c>
      <c r="E24" s="50"/>
      <c r="F24" s="190"/>
      <c r="G24" s="439"/>
      <c r="H24" s="134">
        <f>IF($O$9="",F24,IF($U$9=0,"ERRO",IF($U$9="O ano não está correto para o intervalo","ERRO",IF($O$9=2018,F24,ROUND((F24/$U$9)*3.2939,2)))))</f>
        <v>0</v>
      </c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</row>
    <row r="25" spans="1:23" ht="6.75" customHeight="1" x14ac:dyDescent="0.2">
      <c r="A25" s="132"/>
      <c r="B25" s="12"/>
      <c r="C25" s="12"/>
      <c r="D25" s="50"/>
      <c r="E25" s="50"/>
      <c r="F25" s="439"/>
      <c r="G25" s="439"/>
      <c r="H25" s="134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</row>
    <row r="26" spans="1:23" ht="12.75" customHeight="1" x14ac:dyDescent="0.2">
      <c r="A26" s="132"/>
      <c r="B26" s="12" t="s">
        <v>309</v>
      </c>
      <c r="C26" s="12"/>
      <c r="D26" s="50" t="s">
        <v>310</v>
      </c>
      <c r="E26" s="50"/>
      <c r="F26" s="190"/>
      <c r="G26" s="439"/>
      <c r="H26" s="134">
        <f>IF($O$9="",F26,IF($U$9=0,"ERRO",IF($U$9="O ano não está correto para o intervalo","ERRO",IF($O$9=2018,F26,ROUND((F26/$U$9)*3.2939,2)))))</f>
        <v>0</v>
      </c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</row>
    <row r="27" spans="1:23" ht="6.75" customHeight="1" x14ac:dyDescent="0.2">
      <c r="A27" s="132"/>
      <c r="B27" s="12"/>
      <c r="C27" s="12"/>
      <c r="D27" s="50"/>
      <c r="E27" s="50"/>
      <c r="F27" s="439"/>
      <c r="G27" s="439"/>
      <c r="H27" s="134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</row>
    <row r="28" spans="1:23" x14ac:dyDescent="0.2">
      <c r="A28" s="132"/>
      <c r="B28" s="12" t="s">
        <v>311</v>
      </c>
      <c r="C28" s="12"/>
      <c r="D28" s="50" t="s">
        <v>312</v>
      </c>
      <c r="E28" s="50"/>
      <c r="F28" s="190"/>
      <c r="G28" s="439"/>
      <c r="H28" s="134">
        <f>IF($O$9="",F28,IF($U$9=0,"ERRO",IF($U$9="O ano não está correto para o intervalo","ERRO",IF($O$9=2018,F28,ROUND((F28/$U$9)*3.2939,2)))))</f>
        <v>0</v>
      </c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</row>
    <row r="29" spans="1:23" ht="6.75" customHeight="1" x14ac:dyDescent="0.2">
      <c r="A29" s="132"/>
      <c r="B29" s="12"/>
      <c r="C29" s="12"/>
      <c r="D29" s="50"/>
      <c r="E29" s="50"/>
      <c r="F29" s="330"/>
      <c r="G29" s="439"/>
      <c r="H29" s="134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</row>
    <row r="30" spans="1:23" ht="12.75" customHeight="1" x14ac:dyDescent="0.2">
      <c r="A30" s="132"/>
      <c r="B30" s="12" t="s">
        <v>313</v>
      </c>
      <c r="C30" s="12"/>
      <c r="D30" s="50" t="s">
        <v>314</v>
      </c>
      <c r="E30" s="50"/>
      <c r="F30" s="190"/>
      <c r="G30" s="439"/>
      <c r="H30" s="134">
        <f>IF($O$9="",F30,IF($U$9=0,"ERRO",IF($U$9="O ano não está correto para o intervalo","ERRO",IF($O$9=2018,F30,ROUND((F30/$U$9)*3.2939,2)))))</f>
        <v>0</v>
      </c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</row>
    <row r="31" spans="1:23" ht="6.75" customHeight="1" x14ac:dyDescent="0.2">
      <c r="A31" s="132"/>
      <c r="B31" s="12"/>
      <c r="C31" s="12"/>
      <c r="D31" s="50"/>
      <c r="E31" s="50"/>
      <c r="F31" s="439"/>
      <c r="G31" s="439"/>
      <c r="H31" s="134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</row>
    <row r="32" spans="1:23" ht="12.75" customHeight="1" x14ac:dyDescent="0.2">
      <c r="A32" s="132"/>
      <c r="B32" s="12" t="s">
        <v>315</v>
      </c>
      <c r="C32" s="12"/>
      <c r="D32" s="50" t="s">
        <v>316</v>
      </c>
      <c r="E32" s="50"/>
      <c r="F32" s="190"/>
      <c r="G32" s="439"/>
      <c r="H32" s="134">
        <f>IF($O$9="",F32,IF($U$9=0,"ERRO",IF($U$9="O ano não está correto para o intervalo","ERRO",IF($O$9=2018,F32,ROUND((F32/$U$9)*3.2939,2)))))</f>
        <v>0</v>
      </c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</row>
    <row r="33" spans="1:21" ht="6" customHeight="1" x14ac:dyDescent="0.2">
      <c r="A33" s="132"/>
      <c r="B33" s="12"/>
      <c r="C33" s="12"/>
      <c r="D33" s="50"/>
      <c r="E33" s="50"/>
      <c r="F33" s="330"/>
      <c r="G33" s="439"/>
      <c r="H33" s="134"/>
      <c r="I33" s="132"/>
      <c r="J33" s="132"/>
      <c r="K33" s="132"/>
      <c r="L33" s="132"/>
      <c r="M33" s="132"/>
      <c r="N33" s="132"/>
      <c r="O33" s="132"/>
      <c r="P33" s="132"/>
      <c r="Q33" s="132"/>
      <c r="R33" s="132"/>
      <c r="S33" s="132"/>
    </row>
    <row r="34" spans="1:21" ht="6.75" customHeight="1" x14ac:dyDescent="0.2">
      <c r="A34" s="132"/>
      <c r="B34" s="12"/>
      <c r="C34" s="12"/>
      <c r="D34" s="50"/>
      <c r="E34" s="50"/>
      <c r="F34" s="439"/>
      <c r="G34" s="439"/>
      <c r="H34" s="134"/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132"/>
    </row>
    <row r="35" spans="1:21" ht="12.75" customHeight="1" x14ac:dyDescent="0.2">
      <c r="A35" s="132"/>
      <c r="B35" s="191"/>
      <c r="C35" s="12"/>
      <c r="D35" s="192"/>
      <c r="E35" s="50"/>
      <c r="F35" s="190"/>
      <c r="G35" s="439"/>
      <c r="H35" s="134">
        <f>IF($O$9="",F35,IF($U$9=0,"ERRO",IF($U$9="O ano não está correto para o intervalo","ERRO",IF($O$9=2018,F35,ROUND((F35/$U$9)*3.2939,2)))))</f>
        <v>0</v>
      </c>
      <c r="I35" s="512" t="str">
        <f>IF(B35="","Falta preencher o Código da Receita",IF(B35=Certidão!B24,"","Recolhimento em conta diversa"))</f>
        <v>Falta preencher o Código da Receita</v>
      </c>
      <c r="J35" s="512"/>
      <c r="K35" s="512"/>
      <c r="L35" s="512"/>
      <c r="M35" s="512"/>
      <c r="N35" s="512"/>
      <c r="O35" s="512"/>
      <c r="P35" s="512"/>
      <c r="Q35" s="512"/>
      <c r="R35" s="512"/>
      <c r="S35" s="132"/>
    </row>
    <row r="36" spans="1:21" ht="6.75" customHeight="1" x14ac:dyDescent="0.2">
      <c r="A36" s="132"/>
      <c r="B36" s="12"/>
      <c r="C36" s="12"/>
      <c r="D36" s="50"/>
      <c r="E36" s="50"/>
      <c r="F36" s="439"/>
      <c r="G36" s="439"/>
      <c r="H36" s="134"/>
      <c r="I36" s="512"/>
      <c r="J36" s="512"/>
      <c r="K36" s="512"/>
      <c r="L36" s="512"/>
      <c r="M36" s="512"/>
      <c r="N36" s="512"/>
      <c r="O36" s="512"/>
      <c r="P36" s="512"/>
      <c r="Q36" s="512"/>
      <c r="R36" s="512"/>
      <c r="S36" s="132"/>
    </row>
    <row r="37" spans="1:21" ht="12.75" customHeight="1" x14ac:dyDescent="0.2">
      <c r="A37" s="132"/>
      <c r="B37" s="184"/>
      <c r="C37" s="12"/>
      <c r="D37" s="184"/>
      <c r="E37" s="50"/>
      <c r="F37" s="190"/>
      <c r="G37" s="439"/>
      <c r="H37" s="134">
        <f>IF($O$9="",F37,IF($U$9=0,"ERRO",IF($U$9="O ano não está correto para o intervalo","ERRO",IF($O$9=2018,F37,ROUND((F37/$U$9)*3.2939,2)))))</f>
        <v>0</v>
      </c>
      <c r="I37" s="512" t="str">
        <f>IF(B37="","Falta preencher o Código da Receita",IF(B37=Certidão!B25,"","Recolhimento em conta diversa"))</f>
        <v>Falta preencher o Código da Receita</v>
      </c>
      <c r="J37" s="512"/>
      <c r="K37" s="512"/>
      <c r="L37" s="512"/>
      <c r="M37" s="512"/>
      <c r="N37" s="512"/>
      <c r="O37" s="512"/>
      <c r="P37" s="512"/>
      <c r="Q37" s="512"/>
      <c r="R37" s="512"/>
      <c r="S37" s="132"/>
    </row>
    <row r="38" spans="1:21" ht="6.75" customHeight="1" x14ac:dyDescent="0.2">
      <c r="A38" s="132"/>
      <c r="B38" s="12"/>
      <c r="C38" s="12"/>
      <c r="D38" s="50"/>
      <c r="E38" s="50"/>
      <c r="F38" s="439"/>
      <c r="G38" s="439"/>
      <c r="H38" s="134"/>
      <c r="I38" s="512"/>
      <c r="J38" s="512"/>
      <c r="K38" s="512"/>
      <c r="L38" s="512"/>
      <c r="M38" s="512"/>
      <c r="N38" s="512"/>
      <c r="O38" s="512"/>
      <c r="P38" s="512"/>
      <c r="Q38" s="512"/>
      <c r="R38" s="512"/>
      <c r="S38" s="132"/>
    </row>
    <row r="39" spans="1:21" x14ac:dyDescent="0.2">
      <c r="A39" s="132"/>
      <c r="B39" s="12" t="s">
        <v>317</v>
      </c>
      <c r="C39" s="12"/>
      <c r="D39" s="50" t="s">
        <v>318</v>
      </c>
      <c r="E39" s="50"/>
      <c r="F39" s="190"/>
      <c r="G39" s="439"/>
      <c r="H39" s="134">
        <f>IF($O$9="",F39,IF($U$9=0,"ERRO",IF($U$9="O ano não está correto para o intervalo","ERRO",IF($O$9=2018,F39,ROUND((F39/$U$9)*3.2939,2)))))</f>
        <v>0</v>
      </c>
      <c r="I39" s="512"/>
      <c r="J39" s="512"/>
      <c r="K39" s="512"/>
      <c r="L39" s="512"/>
      <c r="M39" s="512"/>
      <c r="N39" s="512"/>
      <c r="O39" s="512"/>
      <c r="P39" s="512"/>
      <c r="Q39" s="512"/>
      <c r="R39" s="512"/>
      <c r="S39" s="132"/>
    </row>
    <row r="40" spans="1:21" ht="6.75" customHeight="1" x14ac:dyDescent="0.2">
      <c r="A40" s="132"/>
      <c r="B40" s="12"/>
      <c r="C40" s="12"/>
      <c r="D40" s="50"/>
      <c r="E40" s="50"/>
      <c r="F40" s="439"/>
      <c r="G40" s="439"/>
      <c r="H40" s="134"/>
      <c r="I40" s="512"/>
      <c r="J40" s="512"/>
      <c r="K40" s="512"/>
      <c r="L40" s="512"/>
      <c r="M40" s="512"/>
      <c r="N40" s="512"/>
      <c r="O40" s="512"/>
      <c r="P40" s="512"/>
      <c r="Q40" s="512"/>
      <c r="R40" s="512"/>
      <c r="S40" s="132"/>
    </row>
    <row r="41" spans="1:21" x14ac:dyDescent="0.2">
      <c r="A41" s="132"/>
      <c r="B41" s="193"/>
      <c r="C41" s="194"/>
      <c r="D41" s="50" t="s">
        <v>319</v>
      </c>
      <c r="E41" s="50"/>
      <c r="F41" s="190"/>
      <c r="G41" s="439"/>
      <c r="H41" s="134">
        <f>IF($O$9="",F41,IF($U$9=0,"ERRO",IF($U$9="O ano não está correto para o intervalo","ERRO",IF($O$9=2018,F41,ROUND((F41/$U$9)*3.2939,2)))))</f>
        <v>0</v>
      </c>
      <c r="I41" s="512" t="str">
        <f>IF(B41="","Falta preencher o Código da Receita",IF(B41=Certidão!B27,"","Recolhimento em conta diversa"))</f>
        <v>Falta preencher o Código da Receita</v>
      </c>
      <c r="J41" s="512"/>
      <c r="K41" s="512"/>
      <c r="L41" s="512"/>
      <c r="M41" s="512"/>
      <c r="N41" s="512"/>
      <c r="O41" s="512"/>
      <c r="P41" s="512"/>
      <c r="Q41" s="512"/>
      <c r="R41" s="512"/>
      <c r="S41" s="132"/>
      <c r="U41" s="139">
        <f>IF(I41="Recolhimento em conta diversa",0,H41)</f>
        <v>0</v>
      </c>
    </row>
    <row r="42" spans="1:21" ht="6.75" customHeight="1" x14ac:dyDescent="0.2">
      <c r="A42" s="132"/>
      <c r="B42" s="195"/>
      <c r="C42" s="194"/>
      <c r="D42" s="50"/>
      <c r="E42" s="50"/>
      <c r="F42" s="133"/>
      <c r="G42" s="439"/>
      <c r="H42" s="134"/>
      <c r="I42" s="437"/>
      <c r="J42" s="437"/>
      <c r="K42" s="437"/>
      <c r="L42" s="437"/>
      <c r="M42" s="437"/>
      <c r="N42" s="437"/>
      <c r="O42" s="437"/>
      <c r="P42" s="437"/>
      <c r="Q42" s="437"/>
      <c r="R42" s="437"/>
      <c r="S42" s="132"/>
      <c r="U42" s="139"/>
    </row>
    <row r="43" spans="1:21" x14ac:dyDescent="0.2">
      <c r="A43" s="132"/>
      <c r="B43" s="193"/>
      <c r="C43" s="194"/>
      <c r="D43" s="50" t="s">
        <v>320</v>
      </c>
      <c r="E43" s="50"/>
      <c r="F43" s="190"/>
      <c r="G43" s="439"/>
      <c r="H43" s="134">
        <f>IF($O$9="",F43,IF($U$9=0,"ERRO",IF($U$9="O ano não está correto para o intervalo","ERRO",IF($O$9=2018,F43,ROUND((F43/$U$9)*3.2939,2)))))</f>
        <v>0</v>
      </c>
      <c r="I43" s="437"/>
      <c r="J43" s="437"/>
      <c r="K43" s="437"/>
      <c r="L43" s="437"/>
      <c r="M43" s="437"/>
      <c r="N43" s="437"/>
      <c r="O43" s="437"/>
      <c r="P43" s="437"/>
      <c r="Q43" s="437"/>
      <c r="R43" s="437"/>
      <c r="S43" s="132"/>
      <c r="U43" s="139"/>
    </row>
    <row r="44" spans="1:21" ht="6.75" customHeight="1" x14ac:dyDescent="0.2">
      <c r="A44" s="132"/>
      <c r="B44" s="194"/>
      <c r="C44" s="194"/>
      <c r="D44" s="50"/>
      <c r="E44" s="50"/>
      <c r="F44" s="439"/>
      <c r="G44" s="439"/>
      <c r="H44" s="134"/>
      <c r="I44" s="132"/>
      <c r="J44" s="132"/>
      <c r="K44" s="132"/>
      <c r="L44" s="132"/>
      <c r="M44" s="132"/>
      <c r="N44" s="132"/>
      <c r="O44" s="132"/>
      <c r="P44" s="132"/>
      <c r="Q44" s="132"/>
      <c r="R44" s="132"/>
      <c r="S44" s="132"/>
    </row>
    <row r="45" spans="1:21" x14ac:dyDescent="0.2">
      <c r="A45" s="132"/>
      <c r="B45" s="194" t="s">
        <v>321</v>
      </c>
      <c r="C45" s="194"/>
      <c r="D45" s="50" t="s">
        <v>322</v>
      </c>
      <c r="E45" s="50"/>
      <c r="F45" s="190"/>
      <c r="G45" s="439"/>
      <c r="H45" s="134">
        <f>IF($O$9="",F45,IF($U$9=0,"ERRO",IF($U$9="O ano não está correto para o intervalo","ERRO",IF($O$9=2018,F45,ROUND((F45/$U$9)*3.2939,2)))))</f>
        <v>0</v>
      </c>
      <c r="I45" s="132"/>
      <c r="J45" s="132"/>
      <c r="K45" s="132"/>
      <c r="L45" s="132"/>
      <c r="M45" s="132"/>
      <c r="N45" s="132"/>
      <c r="O45" s="132"/>
      <c r="P45" s="132"/>
      <c r="Q45" s="132"/>
      <c r="R45" s="132"/>
      <c r="S45" s="132"/>
      <c r="U45" s="175" t="str">
        <f>IF(I41="Recolhimento em conta diversa","D","")</f>
        <v/>
      </c>
    </row>
    <row r="46" spans="1:21" ht="6.75" customHeight="1" x14ac:dyDescent="0.2">
      <c r="A46" s="132"/>
      <c r="B46" s="194"/>
      <c r="C46" s="194"/>
      <c r="D46" s="50"/>
      <c r="E46" s="50"/>
      <c r="F46" s="439"/>
      <c r="G46" s="439"/>
      <c r="H46" s="134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2"/>
    </row>
    <row r="47" spans="1:21" x14ac:dyDescent="0.2">
      <c r="A47" s="132"/>
      <c r="B47" s="12" t="s">
        <v>323</v>
      </c>
      <c r="C47" s="12"/>
      <c r="D47" s="50" t="s">
        <v>324</v>
      </c>
      <c r="E47" s="50"/>
      <c r="F47" s="190"/>
      <c r="G47" s="439"/>
      <c r="H47" s="134">
        <f>IF($O$9="",F47,IF($U$9=0,"ERRO",IF($U$9="O ano não está correto para o intervalo","ERRO",IF($O$9=2018,F47,ROUND((F47/$U$9)*3.2939,2)))))</f>
        <v>0</v>
      </c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U47" s="138">
        <f>IF(I41="Recolhimento em conta diversa",1,0)</f>
        <v>0</v>
      </c>
    </row>
    <row r="48" spans="1:21" ht="6.75" customHeight="1" x14ac:dyDescent="0.2">
      <c r="A48" s="132"/>
      <c r="B48" s="12"/>
      <c r="C48" s="12"/>
      <c r="D48" s="50"/>
      <c r="E48" s="50"/>
      <c r="F48" s="439"/>
      <c r="G48" s="439"/>
      <c r="H48" s="134"/>
      <c r="I48" s="132"/>
      <c r="J48" s="132"/>
      <c r="K48" s="132"/>
      <c r="L48" s="132"/>
      <c r="M48" s="132"/>
      <c r="N48" s="132"/>
      <c r="O48" s="132"/>
      <c r="P48" s="132"/>
      <c r="Q48" s="132"/>
      <c r="R48" s="132"/>
      <c r="S48" s="132"/>
    </row>
    <row r="49" spans="1:19" ht="13.5" customHeight="1" x14ac:dyDescent="0.2">
      <c r="A49" s="132"/>
      <c r="B49" s="12" t="s">
        <v>325</v>
      </c>
      <c r="C49" s="12"/>
      <c r="D49" s="50" t="s">
        <v>326</v>
      </c>
      <c r="E49" s="50"/>
      <c r="F49" s="190"/>
      <c r="G49" s="439"/>
      <c r="H49" s="134">
        <f>IF($O$9="",F49,IF($U$9=0,"ERRO",IF($U$9="O ano não está correto para o intervalo","ERRO",IF($O$9=2018,F49,ROUND((F49/$U$9)*3.2939,2)))))</f>
        <v>0</v>
      </c>
      <c r="I49" s="132"/>
      <c r="J49" s="132"/>
      <c r="K49" s="132"/>
      <c r="L49" s="132"/>
      <c r="M49" s="132"/>
      <c r="N49" s="132"/>
      <c r="O49" s="132"/>
      <c r="P49" s="132"/>
      <c r="Q49" s="132"/>
      <c r="R49" s="132"/>
      <c r="S49" s="132"/>
    </row>
    <row r="50" spans="1:19" ht="6.75" customHeight="1" x14ac:dyDescent="0.2">
      <c r="A50" s="132"/>
      <c r="B50" s="12"/>
      <c r="C50" s="12"/>
      <c r="D50" s="50"/>
      <c r="E50" s="50"/>
      <c r="F50" s="439"/>
      <c r="G50" s="439"/>
      <c r="H50" s="134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</row>
    <row r="51" spans="1:19" x14ac:dyDescent="0.2">
      <c r="A51" s="132"/>
      <c r="B51" s="12" t="s">
        <v>327</v>
      </c>
      <c r="C51" s="12"/>
      <c r="D51" s="50" t="s">
        <v>328</v>
      </c>
      <c r="E51" s="50"/>
      <c r="F51" s="190"/>
      <c r="G51" s="439"/>
      <c r="H51" s="134">
        <f>IF($O$9="",F51,IF($U$9=0,"ERRO",IF($U$9="O ano não está correto para o intervalo","ERRO",IF($O$9=2018,F51,ROUND((F51/$U$9)*3.2939,2)))))</f>
        <v>0</v>
      </c>
      <c r="I51" s="132"/>
      <c r="J51" s="132"/>
      <c r="K51" s="132"/>
      <c r="L51" s="132"/>
      <c r="M51" s="132"/>
      <c r="N51" s="132"/>
      <c r="O51" s="132"/>
      <c r="P51" s="132"/>
      <c r="Q51" s="132"/>
      <c r="R51" s="132"/>
      <c r="S51" s="132"/>
    </row>
    <row r="52" spans="1:19" ht="6.75" customHeight="1" x14ac:dyDescent="0.2">
      <c r="A52" s="132"/>
      <c r="B52" s="132"/>
      <c r="C52" s="132"/>
      <c r="D52" s="132"/>
      <c r="E52" s="132"/>
      <c r="F52" s="170"/>
      <c r="G52" s="170"/>
      <c r="H52" s="134"/>
      <c r="I52" s="132"/>
      <c r="J52" s="132"/>
      <c r="K52" s="132"/>
      <c r="L52" s="132"/>
      <c r="M52" s="132"/>
      <c r="N52" s="132"/>
      <c r="O52" s="132"/>
      <c r="P52" s="132"/>
      <c r="Q52" s="132"/>
      <c r="R52" s="132"/>
      <c r="S52" s="132"/>
    </row>
    <row r="53" spans="1:19" ht="12.75" customHeight="1" x14ac:dyDescent="0.2">
      <c r="A53" s="132"/>
      <c r="B53" s="196"/>
      <c r="C53" s="132"/>
      <c r="D53" s="166" t="s">
        <v>319</v>
      </c>
      <c r="E53" s="166"/>
      <c r="F53" s="190"/>
      <c r="G53" s="170"/>
      <c r="H53" s="134">
        <f>IF($O$9="",F53,IF($U$9=0,"ERRO",IF($U$9="O ano não está correto para o intervalo","ERRO",IF($O$9=2018,F53,ROUND((F53/$U$9)*3.2939,2)))))</f>
        <v>0</v>
      </c>
      <c r="I53" s="132"/>
      <c r="J53" s="132"/>
      <c r="K53" s="132"/>
      <c r="L53" s="132"/>
      <c r="M53" s="132"/>
      <c r="N53" s="132"/>
      <c r="O53" s="132"/>
      <c r="P53" s="132"/>
      <c r="Q53" s="132"/>
      <c r="R53" s="132"/>
      <c r="S53" s="132"/>
    </row>
    <row r="54" spans="1:19" ht="6.75" customHeight="1" x14ac:dyDescent="0.2">
      <c r="A54" s="132"/>
      <c r="B54" s="197"/>
      <c r="C54" s="132"/>
      <c r="D54" s="166"/>
      <c r="E54" s="166"/>
      <c r="F54" s="198"/>
      <c r="G54" s="170"/>
      <c r="H54" s="134"/>
      <c r="I54" s="132"/>
      <c r="J54" s="132"/>
      <c r="K54" s="132"/>
      <c r="L54" s="132"/>
      <c r="M54" s="132"/>
      <c r="N54" s="132"/>
      <c r="O54" s="132"/>
      <c r="P54" s="132"/>
      <c r="Q54" s="132"/>
      <c r="R54" s="132"/>
      <c r="S54" s="132"/>
    </row>
    <row r="55" spans="1:19" ht="12.75" customHeight="1" x14ac:dyDescent="0.2">
      <c r="A55" s="132"/>
      <c r="B55" s="196"/>
      <c r="C55" s="132"/>
      <c r="D55" s="50" t="s">
        <v>320</v>
      </c>
      <c r="E55" s="166"/>
      <c r="F55" s="190"/>
      <c r="G55" s="170"/>
      <c r="H55" s="134">
        <f>IF($O$9="",F55,IF($U$9=0,"ERRO",IF($U$9="O ano não está correto para o intervalo","ERRO",IF($O$9=2018,F55,ROUND((F55/$U$9)*3.2939,2)))))</f>
        <v>0</v>
      </c>
      <c r="I55" s="132"/>
      <c r="J55" s="132"/>
      <c r="K55" s="132"/>
      <c r="L55" s="132"/>
      <c r="M55" s="132"/>
      <c r="N55" s="132"/>
      <c r="O55" s="132"/>
      <c r="P55" s="132"/>
      <c r="Q55" s="132"/>
      <c r="R55" s="132"/>
      <c r="S55" s="132"/>
    </row>
    <row r="56" spans="1:19" ht="6.75" customHeight="1" x14ac:dyDescent="0.2">
      <c r="A56" s="132"/>
      <c r="B56" s="166"/>
      <c r="C56" s="132"/>
      <c r="D56" s="166"/>
      <c r="E56" s="166"/>
      <c r="F56" s="170"/>
      <c r="G56" s="170"/>
      <c r="H56" s="134"/>
      <c r="I56" s="132"/>
      <c r="J56" s="132"/>
      <c r="K56" s="132"/>
      <c r="L56" s="132"/>
      <c r="M56" s="132"/>
      <c r="N56" s="132"/>
      <c r="O56" s="132"/>
      <c r="P56" s="132"/>
      <c r="Q56" s="132"/>
      <c r="R56" s="132"/>
      <c r="S56" s="132"/>
    </row>
    <row r="57" spans="1:19" ht="12.75" customHeight="1" x14ac:dyDescent="0.2">
      <c r="A57" s="132"/>
      <c r="B57" s="196"/>
      <c r="C57" s="132"/>
      <c r="D57" s="166" t="s">
        <v>319</v>
      </c>
      <c r="E57" s="166"/>
      <c r="F57" s="190"/>
      <c r="G57" s="170"/>
      <c r="H57" s="134">
        <f>IF($O$9="",F57,IF($U$9=0,"ERRO",IF($U$9="O ano não está correto para o intervalo","ERRO",IF($O$9=2018,F57,ROUND((F57/$U$9)*3.2939,2)))))</f>
        <v>0</v>
      </c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</row>
    <row r="58" spans="1:19" ht="6.75" customHeight="1" x14ac:dyDescent="0.2">
      <c r="A58" s="132"/>
      <c r="B58" s="197"/>
      <c r="C58" s="132"/>
      <c r="D58" s="166"/>
      <c r="E58" s="166"/>
      <c r="F58" s="198"/>
      <c r="G58" s="170"/>
      <c r="H58" s="134"/>
      <c r="I58" s="132"/>
      <c r="J58" s="132"/>
      <c r="K58" s="132"/>
      <c r="L58" s="132"/>
      <c r="M58" s="132"/>
      <c r="N58" s="132"/>
      <c r="O58" s="132"/>
      <c r="P58" s="132"/>
      <c r="Q58" s="132"/>
      <c r="R58" s="132"/>
      <c r="S58" s="132"/>
    </row>
    <row r="59" spans="1:19" ht="12.75" customHeight="1" x14ac:dyDescent="0.2">
      <c r="A59" s="132"/>
      <c r="B59" s="196"/>
      <c r="C59" s="132"/>
      <c r="D59" s="50" t="s">
        <v>320</v>
      </c>
      <c r="E59" s="166"/>
      <c r="F59" s="190"/>
      <c r="G59" s="170"/>
      <c r="H59" s="134">
        <f>IF($O$9="",F59,IF($U$9=0,"ERRO",IF($U$9="O ano não está correto para o intervalo","ERRO",IF($O$9=2018,F59,ROUND((F59/$U$9)*3.2939,2)))))</f>
        <v>0</v>
      </c>
      <c r="I59" s="132"/>
      <c r="J59" s="132"/>
      <c r="K59" s="132"/>
      <c r="L59" s="132"/>
      <c r="M59" s="132"/>
      <c r="N59" s="132"/>
      <c r="O59" s="132"/>
      <c r="P59" s="132"/>
      <c r="Q59" s="132"/>
      <c r="R59" s="132"/>
      <c r="S59" s="132"/>
    </row>
    <row r="60" spans="1:19" ht="6.75" customHeight="1" x14ac:dyDescent="0.2">
      <c r="A60" s="132"/>
      <c r="B60" s="166"/>
      <c r="C60" s="132"/>
      <c r="D60" s="166"/>
      <c r="E60" s="166"/>
      <c r="F60" s="187"/>
      <c r="G60" s="170"/>
      <c r="H60" s="134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</row>
    <row r="61" spans="1:19" ht="12.75" customHeight="1" x14ac:dyDescent="0.2">
      <c r="A61" s="132"/>
      <c r="B61" s="196"/>
      <c r="C61" s="132"/>
      <c r="D61" s="166" t="s">
        <v>319</v>
      </c>
      <c r="E61" s="166"/>
      <c r="F61" s="190"/>
      <c r="G61" s="170"/>
      <c r="H61" s="134">
        <f>IF($O$9="",F61,IF($U$9=0,"ERRO",IF($U$9="O ano não está correto para o intervalo","ERRO",IF($O$9=2018,F61,ROUND((F61/$U$9)*3.2939,2)))))</f>
        <v>0</v>
      </c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</row>
    <row r="62" spans="1:19" ht="6.75" customHeight="1" x14ac:dyDescent="0.2">
      <c r="A62" s="132"/>
      <c r="B62" s="197"/>
      <c r="C62" s="132"/>
      <c r="D62" s="166"/>
      <c r="E62" s="166"/>
      <c r="F62" s="198"/>
      <c r="G62" s="170"/>
      <c r="H62" s="134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</row>
    <row r="63" spans="1:19" ht="12.75" customHeight="1" x14ac:dyDescent="0.2">
      <c r="A63" s="132"/>
      <c r="B63" s="196"/>
      <c r="C63" s="132"/>
      <c r="D63" s="50" t="s">
        <v>320</v>
      </c>
      <c r="E63" s="166"/>
      <c r="F63" s="190"/>
      <c r="G63" s="170"/>
      <c r="H63" s="134">
        <f>IF($O$9="",F63,IF($U$9=0,"ERRO",IF($U$9="O ano não está correto para o intervalo","ERRO",IF($O$9=2018,F63,ROUND((F63/$U$9)*3.2939,2)))))</f>
        <v>0</v>
      </c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</row>
    <row r="64" spans="1:19" ht="6.75" customHeight="1" x14ac:dyDescent="0.2">
      <c r="A64" s="132"/>
      <c r="B64" s="166"/>
      <c r="C64" s="132"/>
      <c r="D64" s="166"/>
      <c r="E64" s="166"/>
      <c r="F64" s="187"/>
      <c r="G64" s="170"/>
      <c r="H64" s="134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</row>
    <row r="65" spans="1:23" ht="12.75" customHeight="1" x14ac:dyDescent="0.2">
      <c r="A65" s="132"/>
      <c r="B65" s="196"/>
      <c r="C65" s="132"/>
      <c r="D65" s="166" t="s">
        <v>319</v>
      </c>
      <c r="E65" s="166"/>
      <c r="F65" s="190"/>
      <c r="G65" s="170"/>
      <c r="H65" s="134">
        <f>IF($O$9="",F65,IF($U$9=0,"ERRO",IF($U$9="O ano não está correto para o intervalo","ERRO",IF($O$9=2018,F65,ROUND((F65/$U$9)*3.2939,2)))))</f>
        <v>0</v>
      </c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</row>
    <row r="66" spans="1:23" ht="6.75" customHeight="1" x14ac:dyDescent="0.2">
      <c r="A66" s="132"/>
      <c r="B66" s="197"/>
      <c r="C66" s="132"/>
      <c r="D66" s="166"/>
      <c r="E66" s="166"/>
      <c r="F66" s="198"/>
      <c r="G66" s="170"/>
      <c r="H66" s="134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</row>
    <row r="67" spans="1:23" ht="12.75" customHeight="1" x14ac:dyDescent="0.2">
      <c r="A67" s="132"/>
      <c r="B67" s="196"/>
      <c r="C67" s="132"/>
      <c r="D67" s="50" t="s">
        <v>320</v>
      </c>
      <c r="E67" s="166"/>
      <c r="F67" s="190"/>
      <c r="G67" s="170"/>
      <c r="H67" s="134">
        <f>IF($O$9="",F67,IF($U$9=0,"ERRO",IF($U$9="O ano não está correto para o intervalo","ERRO",IF($O$9=2018,F67,ROUND((F67/$U$9)*3.2939,2)))))</f>
        <v>0</v>
      </c>
      <c r="I67" s="132"/>
      <c r="J67" s="132"/>
      <c r="K67" s="132"/>
      <c r="L67" s="132"/>
      <c r="M67" s="132"/>
      <c r="N67" s="132"/>
      <c r="O67" s="132"/>
      <c r="P67" s="132"/>
      <c r="Q67" s="132"/>
      <c r="R67" s="132"/>
      <c r="S67" s="132"/>
    </row>
    <row r="68" spans="1:23" ht="6.75" customHeight="1" x14ac:dyDescent="0.2">
      <c r="A68" s="132"/>
      <c r="B68" s="12"/>
      <c r="C68" s="12"/>
      <c r="D68" s="50"/>
      <c r="E68" s="50"/>
      <c r="F68" s="439"/>
      <c r="G68" s="439"/>
      <c r="H68" s="134"/>
      <c r="I68" s="437"/>
      <c r="J68" s="437"/>
      <c r="K68" s="437"/>
      <c r="L68" s="437"/>
      <c r="M68" s="437"/>
      <c r="N68" s="437"/>
      <c r="O68" s="437"/>
      <c r="P68" s="437"/>
      <c r="Q68" s="437"/>
      <c r="R68" s="437"/>
      <c r="S68" s="132"/>
    </row>
    <row r="69" spans="1:23" x14ac:dyDescent="0.2">
      <c r="A69" s="132"/>
      <c r="B69" s="12" t="s">
        <v>329</v>
      </c>
      <c r="C69" s="12"/>
      <c r="D69" s="50" t="s">
        <v>218</v>
      </c>
      <c r="E69" s="50"/>
      <c r="F69" s="190"/>
      <c r="G69" s="439"/>
      <c r="H69" s="134">
        <f>IF($O$9="",F69,IF($U$9=0,"ERRO",IF($U$9="O ano não está correto para o intervalo","ERRO",IF($O$9=2018,F69,ROUND((F69/$U$9)*3.2939,2)))))</f>
        <v>0</v>
      </c>
      <c r="I69" s="437"/>
      <c r="J69" s="437"/>
      <c r="K69" s="437"/>
      <c r="L69" s="437"/>
      <c r="M69" s="437"/>
      <c r="N69" s="437"/>
      <c r="O69" s="437"/>
      <c r="P69" s="437"/>
      <c r="Q69" s="437"/>
      <c r="R69" s="437"/>
      <c r="S69" s="132"/>
    </row>
    <row r="70" spans="1:23" ht="6.75" customHeight="1" x14ac:dyDescent="0.2">
      <c r="A70" s="132"/>
      <c r="B70" s="12"/>
      <c r="C70" s="12"/>
      <c r="D70" s="50"/>
      <c r="E70" s="50"/>
      <c r="F70" s="439"/>
      <c r="G70" s="439"/>
      <c r="H70" s="134"/>
      <c r="I70" s="437"/>
      <c r="J70" s="437"/>
      <c r="K70" s="437"/>
      <c r="L70" s="437"/>
      <c r="M70" s="437"/>
      <c r="N70" s="437"/>
      <c r="O70" s="437"/>
      <c r="P70" s="437"/>
      <c r="Q70" s="437"/>
      <c r="R70" s="437"/>
      <c r="S70" s="132"/>
    </row>
    <row r="71" spans="1:23" x14ac:dyDescent="0.2">
      <c r="A71" s="132"/>
      <c r="B71" s="12" t="s">
        <v>330</v>
      </c>
      <c r="C71" s="12"/>
      <c r="D71" s="50" t="s">
        <v>224</v>
      </c>
      <c r="E71" s="50"/>
      <c r="F71" s="190"/>
      <c r="G71" s="439"/>
      <c r="H71" s="134">
        <f>IF($O$9="",F71,IF($U$9=0,"ERRO",IF($U$9="O ano não está correto para o intervalo","ERRO",IF($O$9=2018,F71,ROUND((F71/$U$9)*3.2939,2)))))</f>
        <v>0</v>
      </c>
      <c r="I71" s="437"/>
      <c r="J71" s="437"/>
      <c r="K71" s="437"/>
      <c r="L71" s="437"/>
      <c r="M71" s="437"/>
      <c r="N71" s="437"/>
      <c r="O71" s="437"/>
      <c r="P71" s="437"/>
      <c r="Q71" s="437"/>
      <c r="R71" s="437"/>
      <c r="S71" s="132"/>
    </row>
    <row r="72" spans="1:23" ht="6" customHeight="1" x14ac:dyDescent="0.2">
      <c r="A72" s="132"/>
      <c r="B72" s="12"/>
      <c r="C72" s="12"/>
      <c r="D72" s="50"/>
      <c r="E72" s="50"/>
      <c r="F72" s="330"/>
      <c r="G72" s="439"/>
      <c r="H72" s="134"/>
      <c r="I72" s="437"/>
      <c r="J72" s="437"/>
      <c r="K72" s="437"/>
      <c r="L72" s="437"/>
      <c r="M72" s="437"/>
      <c r="N72" s="437"/>
      <c r="O72" s="437"/>
      <c r="P72" s="437"/>
      <c r="Q72" s="437"/>
      <c r="R72" s="437"/>
      <c r="S72" s="132"/>
    </row>
    <row r="73" spans="1:23" ht="12.75" customHeight="1" x14ac:dyDescent="0.2">
      <c r="A73" s="132"/>
      <c r="B73" s="12" t="s">
        <v>331</v>
      </c>
      <c r="C73" s="12"/>
      <c r="D73" s="50" t="s">
        <v>332</v>
      </c>
      <c r="E73" s="50"/>
      <c r="F73" s="190"/>
      <c r="G73" s="439"/>
      <c r="H73" s="134">
        <f>IF($O$9="",F73,IF($U$9=0,"ERRO",IF($U$9="O ano não está correto para o intervalo","ERRO",IF($O$9=2018,F73,ROUND((F73/$U$9)*3.2939,2)))))</f>
        <v>0</v>
      </c>
      <c r="I73" s="132"/>
      <c r="J73" s="132"/>
      <c r="K73" s="132"/>
      <c r="L73" s="132"/>
      <c r="M73" s="132"/>
      <c r="N73" s="132"/>
      <c r="O73" s="132"/>
      <c r="P73" s="132"/>
      <c r="Q73" s="132"/>
      <c r="R73" s="132"/>
      <c r="S73" s="132"/>
    </row>
    <row r="74" spans="1:23" ht="6.75" customHeight="1" x14ac:dyDescent="0.2">
      <c r="A74" s="132"/>
      <c r="B74" s="12"/>
      <c r="C74" s="12"/>
      <c r="D74" s="50"/>
      <c r="E74" s="50"/>
      <c r="F74" s="330"/>
      <c r="G74" s="439"/>
      <c r="H74" s="134"/>
      <c r="I74" s="132"/>
      <c r="J74" s="132"/>
      <c r="K74" s="132"/>
      <c r="L74" s="132"/>
      <c r="M74" s="132"/>
      <c r="N74" s="132"/>
      <c r="O74" s="132"/>
      <c r="P74" s="132"/>
      <c r="Q74" s="132"/>
      <c r="R74" s="132"/>
      <c r="S74" s="132"/>
    </row>
    <row r="75" spans="1:23" ht="12.75" customHeight="1" x14ac:dyDescent="0.2">
      <c r="A75" s="132"/>
      <c r="B75" s="12" t="s">
        <v>333</v>
      </c>
      <c r="C75" s="12"/>
      <c r="D75" s="50" t="s">
        <v>334</v>
      </c>
      <c r="E75" s="50"/>
      <c r="F75" s="190"/>
      <c r="G75" s="439"/>
      <c r="H75" s="134">
        <f>IF($O$9="",F75,IF($U$9=0,"ERRO",IF($U$9="O ano não está correto para o intervalo","ERRO",IF($O$9=2018,F75,ROUND((F75/$U$9)*3.2939,2)))))</f>
        <v>0</v>
      </c>
      <c r="I75" s="132"/>
      <c r="J75" s="132"/>
      <c r="K75" s="132"/>
      <c r="L75" s="132"/>
      <c r="M75" s="132"/>
      <c r="N75" s="132"/>
      <c r="O75" s="132"/>
      <c r="P75" s="132"/>
      <c r="Q75" s="132"/>
      <c r="R75" s="132"/>
      <c r="S75" s="132"/>
    </row>
    <row r="76" spans="1:23" ht="12.75" customHeight="1" x14ac:dyDescent="0.2">
      <c r="A76" s="132"/>
      <c r="B76" s="12"/>
      <c r="C76" s="132"/>
      <c r="D76" s="166"/>
      <c r="E76" s="166"/>
      <c r="F76" s="187"/>
      <c r="G76" s="170"/>
      <c r="H76" s="134"/>
      <c r="I76" s="132"/>
      <c r="J76" s="132"/>
      <c r="K76" s="132"/>
      <c r="L76" s="132"/>
      <c r="M76" s="132"/>
      <c r="N76" s="132"/>
      <c r="O76" s="132"/>
      <c r="P76" s="132"/>
      <c r="Q76" s="132"/>
      <c r="R76" s="132"/>
      <c r="S76" s="132"/>
    </row>
    <row r="77" spans="1:23" x14ac:dyDescent="0.2">
      <c r="A77" s="132"/>
      <c r="B77" s="132"/>
      <c r="C77" s="132"/>
      <c r="D77" s="171" t="s">
        <v>335</v>
      </c>
      <c r="E77" s="171"/>
      <c r="F77" s="187">
        <f>SUM(F20:F75)</f>
        <v>0</v>
      </c>
      <c r="G77" s="170"/>
      <c r="H77" s="134"/>
      <c r="I77" s="132"/>
      <c r="J77" s="132"/>
      <c r="K77" s="132"/>
      <c r="L77" s="132"/>
      <c r="M77" s="132"/>
      <c r="N77" s="132"/>
      <c r="O77" s="132"/>
      <c r="P77" s="132"/>
      <c r="Q77" s="132"/>
      <c r="R77" s="132"/>
      <c r="S77" s="132"/>
      <c r="U77" s="175"/>
      <c r="V77" s="177"/>
      <c r="W77" s="178"/>
    </row>
    <row r="78" spans="1:23" x14ac:dyDescent="0.2">
      <c r="A78" s="132"/>
      <c r="B78" s="132"/>
      <c r="C78" s="132"/>
      <c r="D78" s="171"/>
      <c r="E78" s="171"/>
      <c r="F78" s="187"/>
      <c r="G78" s="170"/>
      <c r="H78" s="134"/>
      <c r="I78" s="132"/>
      <c r="J78" s="132"/>
      <c r="K78" s="132"/>
      <c r="L78" s="132"/>
      <c r="M78" s="132"/>
      <c r="N78" s="132"/>
      <c r="O78" s="132"/>
      <c r="P78" s="132"/>
      <c r="Q78" s="132"/>
      <c r="R78" s="132"/>
      <c r="S78" s="132"/>
      <c r="V78" s="175"/>
    </row>
    <row r="79" spans="1:23" x14ac:dyDescent="0.2">
      <c r="A79" s="132"/>
      <c r="B79" s="132"/>
      <c r="C79" s="132"/>
      <c r="D79" s="171"/>
      <c r="E79" s="171"/>
      <c r="F79" s="171" t="s">
        <v>290</v>
      </c>
      <c r="G79" s="550"/>
      <c r="H79" s="550"/>
      <c r="I79" s="550"/>
      <c r="J79" s="180" t="s">
        <v>291</v>
      </c>
      <c r="K79" s="110"/>
      <c r="L79" s="181" t="s">
        <v>292</v>
      </c>
      <c r="M79" s="182"/>
      <c r="N79" s="181" t="s">
        <v>292</v>
      </c>
      <c r="O79" s="182"/>
      <c r="P79" s="183"/>
      <c r="Q79" s="171" t="s">
        <v>293</v>
      </c>
      <c r="R79" s="184"/>
      <c r="S79" s="132"/>
      <c r="U79" s="99">
        <f>IF(O79=0,0,IF(O79=1999,0.977,IF(O79=2000,1.0641,IF(O79=2001,1.1283,IF(O79=2002,1.213,IF(O79=2003,1.3584,IF(O79=2004,1.4924,IF(O79=2005,1.6049,V79))))))))</f>
        <v>0</v>
      </c>
      <c r="V79" s="5" t="str">
        <f>IF(O79=2006,1.6992,IF(O79=2007,1.7495,IF(O79=2008,1.8258,IF(O79=2009,1.9372,IF(O79=2010,2.0183,IF(O79=2011,2.1352,IF(O79=2012,2.2752,IF(O79=2013,2.4066,W79))))))))</f>
        <v>O ano não está correto para o intervalo</v>
      </c>
      <c r="W79" s="178" t="str">
        <f>IF(O79=2014,2.5473,IF(O79=2015,2.7119,IF(O79=2016,3.0023,IF(O79=2017,3.1999,IF(79=2018,1,"O ano não está correto para o intervalo")))))</f>
        <v>O ano não está correto para o intervalo</v>
      </c>
    </row>
    <row r="80" spans="1:23" ht="6.75" customHeight="1" x14ac:dyDescent="0.2">
      <c r="A80" s="132"/>
      <c r="B80" s="132"/>
      <c r="C80" s="132"/>
      <c r="D80" s="171"/>
      <c r="E80" s="171"/>
      <c r="F80" s="132"/>
      <c r="G80" s="132"/>
      <c r="H80" s="171"/>
      <c r="I80" s="438"/>
      <c r="J80" s="438"/>
      <c r="K80" s="438"/>
      <c r="L80" s="438"/>
      <c r="M80" s="438"/>
      <c r="N80" s="438"/>
      <c r="O80" s="438"/>
      <c r="P80" s="438"/>
      <c r="Q80" s="132"/>
      <c r="R80" s="132"/>
      <c r="S80" s="132"/>
      <c r="V80" s="175" t="s">
        <v>294</v>
      </c>
      <c r="W80" s="175" t="s">
        <v>295</v>
      </c>
    </row>
    <row r="81" spans="1:23" x14ac:dyDescent="0.2">
      <c r="A81" s="132"/>
      <c r="B81" s="132"/>
      <c r="C81" s="132"/>
      <c r="D81" s="171"/>
      <c r="E81" s="171"/>
      <c r="F81" s="551" t="s">
        <v>336</v>
      </c>
      <c r="G81" s="551"/>
      <c r="H81" s="551"/>
      <c r="I81" s="551"/>
      <c r="J81" s="551"/>
      <c r="K81" s="20"/>
      <c r="L81" s="438"/>
      <c r="M81" s="512" t="str">
        <f>IF(T81&gt;1,"Escolher uma opção","")</f>
        <v/>
      </c>
      <c r="N81" s="512"/>
      <c r="O81" s="512"/>
      <c r="P81" s="512"/>
      <c r="Q81" s="512"/>
      <c r="R81" s="512"/>
      <c r="S81" s="132"/>
      <c r="T81" s="138">
        <f>COUNTA(K81,K83,K84)</f>
        <v>0</v>
      </c>
      <c r="U81" s="175">
        <f>H86*0.05</f>
        <v>0</v>
      </c>
      <c r="V81" s="175">
        <f>IF($T$81&gt;1,0,IF(K81="",0,$U$81))</f>
        <v>0</v>
      </c>
      <c r="W81" s="175">
        <f>V81</f>
        <v>0</v>
      </c>
    </row>
    <row r="82" spans="1:23" ht="6.75" customHeight="1" x14ac:dyDescent="0.2">
      <c r="A82" s="132"/>
      <c r="B82" s="132"/>
      <c r="C82" s="132"/>
      <c r="D82" s="171"/>
      <c r="E82" s="171"/>
      <c r="F82" s="187"/>
      <c r="G82" s="187"/>
      <c r="H82" s="187"/>
      <c r="I82" s="187"/>
      <c r="J82" s="187"/>
      <c r="K82" s="7"/>
      <c r="L82" s="438"/>
      <c r="M82" s="437"/>
      <c r="N82" s="437"/>
      <c r="O82" s="437"/>
      <c r="P82" s="437"/>
      <c r="Q82" s="437"/>
      <c r="R82" s="437"/>
      <c r="S82" s="132"/>
      <c r="T82" s="138"/>
      <c r="U82" s="175"/>
      <c r="V82" s="175"/>
      <c r="W82" s="175"/>
    </row>
    <row r="83" spans="1:23" x14ac:dyDescent="0.2">
      <c r="A83" s="132"/>
      <c r="B83" s="132"/>
      <c r="C83" s="132"/>
      <c r="D83" s="171"/>
      <c r="E83" s="171"/>
      <c r="F83" s="551" t="s">
        <v>298</v>
      </c>
      <c r="G83" s="551"/>
      <c r="H83" s="551"/>
      <c r="I83" s="551"/>
      <c r="J83" s="551"/>
      <c r="K83" s="20"/>
      <c r="L83" s="438"/>
      <c r="M83" s="437"/>
      <c r="N83" s="437"/>
      <c r="O83" s="437"/>
      <c r="P83" s="437"/>
      <c r="Q83" s="437"/>
      <c r="R83" s="437"/>
      <c r="S83" s="132"/>
      <c r="T83" s="138"/>
      <c r="U83" s="175"/>
      <c r="V83" s="175"/>
      <c r="W83" s="175">
        <f>IF($T$81&gt;1,0,IF(K83="",0,$U$81))</f>
        <v>0</v>
      </c>
    </row>
    <row r="84" spans="1:23" ht="6.75" customHeight="1" x14ac:dyDescent="0.2">
      <c r="A84" s="132"/>
      <c r="B84" s="132"/>
      <c r="C84" s="132"/>
      <c r="D84" s="171"/>
      <c r="E84" s="171"/>
      <c r="F84" s="551"/>
      <c r="G84" s="551"/>
      <c r="H84" s="551"/>
      <c r="I84" s="551"/>
      <c r="J84" s="551"/>
      <c r="K84" s="7"/>
      <c r="L84" s="438"/>
      <c r="M84" s="438"/>
      <c r="N84" s="438"/>
      <c r="O84" s="438"/>
      <c r="P84" s="438"/>
      <c r="Q84" s="132"/>
      <c r="R84" s="132"/>
      <c r="S84" s="132"/>
      <c r="U84" s="189" t="s">
        <v>303</v>
      </c>
      <c r="V84" s="189">
        <f>SUM(V81:V83)</f>
        <v>0</v>
      </c>
      <c r="W84" s="189">
        <f>SUM(W81:W83)</f>
        <v>0</v>
      </c>
    </row>
    <row r="85" spans="1:23" ht="38.25" x14ac:dyDescent="0.2">
      <c r="A85" s="132"/>
      <c r="B85" s="188" t="s">
        <v>299</v>
      </c>
      <c r="C85" s="188"/>
      <c r="D85" s="188" t="s">
        <v>300</v>
      </c>
      <c r="E85" s="188"/>
      <c r="F85" s="188" t="s">
        <v>301</v>
      </c>
      <c r="G85" s="188"/>
      <c r="H85" s="188" t="s">
        <v>302</v>
      </c>
      <c r="I85" s="132"/>
      <c r="J85" s="132"/>
      <c r="K85" s="132"/>
      <c r="L85" s="132"/>
      <c r="M85" s="132"/>
      <c r="N85" s="132"/>
      <c r="O85" s="132"/>
      <c r="P85" s="132"/>
      <c r="Q85" s="132"/>
      <c r="R85" s="132"/>
      <c r="S85" s="132"/>
      <c r="U85" s="175"/>
      <c r="V85" s="175"/>
      <c r="W85" s="178"/>
    </row>
    <row r="86" spans="1:23" x14ac:dyDescent="0.2">
      <c r="A86" s="132"/>
      <c r="B86" s="12" t="s">
        <v>337</v>
      </c>
      <c r="C86" s="12"/>
      <c r="D86" s="50" t="s">
        <v>338</v>
      </c>
      <c r="E86" s="132"/>
      <c r="F86" s="190"/>
      <c r="G86" s="132"/>
      <c r="H86" s="134">
        <f>IF($O$79="",F86,IF($U$79=0,"ERRO",IF($U$79="O ano não está correto para o intervalo","ERRO",IF($O$79=2018,F86,ROUND((F86/$U$79)*3.2939,2)))))</f>
        <v>0</v>
      </c>
      <c r="I86" s="132"/>
      <c r="J86" s="132"/>
      <c r="K86" s="132"/>
      <c r="L86" s="132"/>
      <c r="M86" s="132"/>
      <c r="N86" s="132"/>
      <c r="O86" s="132"/>
      <c r="P86" s="132"/>
      <c r="Q86" s="132"/>
      <c r="R86" s="132"/>
      <c r="S86" s="132"/>
    </row>
    <row r="87" spans="1:23" ht="6.75" customHeight="1" x14ac:dyDescent="0.2">
      <c r="A87" s="132"/>
      <c r="B87" s="132"/>
      <c r="C87" s="132"/>
      <c r="D87" s="132"/>
      <c r="E87" s="132"/>
      <c r="F87" s="166"/>
      <c r="G87" s="132"/>
      <c r="H87" s="134"/>
      <c r="I87" s="132"/>
      <c r="J87" s="132"/>
      <c r="K87" s="132"/>
      <c r="L87" s="132"/>
      <c r="M87" s="132"/>
      <c r="N87" s="132"/>
      <c r="O87" s="132"/>
      <c r="P87" s="132"/>
      <c r="Q87" s="132"/>
      <c r="R87" s="132"/>
      <c r="S87" s="132"/>
    </row>
    <row r="88" spans="1:23" ht="12.75" customHeight="1" x14ac:dyDescent="0.2">
      <c r="A88" s="132"/>
      <c r="B88" s="166" t="s">
        <v>307</v>
      </c>
      <c r="C88" s="132"/>
      <c r="D88" s="166" t="s">
        <v>339</v>
      </c>
      <c r="E88" s="132"/>
      <c r="F88" s="190"/>
      <c r="G88" s="132"/>
      <c r="H88" s="134">
        <f>IF($O$79="",F88,IF($U$79=0,"ERRO",IF($U$79="O ano não está correto para o intervalo","ERRO",IF($O$79=2018,F88,ROUND((F88/$U$79)*3.2939,2)))))</f>
        <v>0</v>
      </c>
      <c r="I88" s="132"/>
      <c r="J88" s="132"/>
      <c r="K88" s="132"/>
      <c r="L88" s="132"/>
      <c r="M88" s="132"/>
      <c r="N88" s="132"/>
      <c r="O88" s="132"/>
      <c r="P88" s="132"/>
      <c r="Q88" s="132"/>
      <c r="R88" s="132"/>
      <c r="S88" s="132"/>
    </row>
    <row r="89" spans="1:23" ht="6.75" customHeight="1" x14ac:dyDescent="0.2">
      <c r="A89" s="132"/>
      <c r="B89" s="132"/>
      <c r="C89" s="132"/>
      <c r="D89" s="132"/>
      <c r="E89" s="132"/>
      <c r="F89" s="166"/>
      <c r="G89" s="132"/>
      <c r="H89" s="134"/>
      <c r="I89" s="132"/>
      <c r="J89" s="132"/>
      <c r="K89" s="132"/>
      <c r="L89" s="132"/>
      <c r="M89" s="132"/>
      <c r="N89" s="132"/>
      <c r="O89" s="132"/>
      <c r="P89" s="132"/>
      <c r="Q89" s="132"/>
      <c r="R89" s="132"/>
      <c r="S89" s="132"/>
    </row>
    <row r="90" spans="1:23" x14ac:dyDescent="0.2">
      <c r="A90" s="132"/>
      <c r="B90" s="12" t="s">
        <v>317</v>
      </c>
      <c r="C90" s="132"/>
      <c r="D90" s="50" t="s">
        <v>318</v>
      </c>
      <c r="E90" s="132"/>
      <c r="F90" s="190"/>
      <c r="G90" s="132"/>
      <c r="H90" s="134">
        <f>IF($O$79="",F90,IF($U$79=0,"ERRO",IF($U$79="O ano não está correto para o intervalo","ERRO",IF($O$79=2018,F90,ROUND((F90/$U$79)*3.2939,2)))))</f>
        <v>0</v>
      </c>
      <c r="I90" s="132"/>
      <c r="J90" s="132"/>
      <c r="K90" s="132"/>
      <c r="L90" s="132"/>
      <c r="M90" s="132"/>
      <c r="N90" s="132"/>
      <c r="O90" s="132"/>
      <c r="P90" s="132"/>
      <c r="Q90" s="132"/>
      <c r="R90" s="132"/>
      <c r="S90" s="132"/>
    </row>
    <row r="91" spans="1:23" ht="6.75" customHeight="1" x14ac:dyDescent="0.2">
      <c r="A91" s="132"/>
      <c r="B91" s="132"/>
      <c r="C91" s="132"/>
      <c r="D91" s="132"/>
      <c r="E91" s="132"/>
      <c r="F91" s="187"/>
      <c r="G91" s="132"/>
      <c r="H91" s="134"/>
      <c r="I91" s="132"/>
      <c r="J91" s="132"/>
      <c r="K91" s="132"/>
      <c r="L91" s="132"/>
      <c r="M91" s="132"/>
      <c r="N91" s="132"/>
      <c r="O91" s="132"/>
      <c r="P91" s="132"/>
      <c r="Q91" s="132"/>
      <c r="R91" s="132"/>
      <c r="S91" s="132"/>
    </row>
    <row r="92" spans="1:23" x14ac:dyDescent="0.2">
      <c r="A92" s="132"/>
      <c r="B92" s="12" t="s">
        <v>325</v>
      </c>
      <c r="C92" s="132"/>
      <c r="D92" s="50" t="s">
        <v>326</v>
      </c>
      <c r="E92" s="132"/>
      <c r="F92" s="190"/>
      <c r="G92" s="132"/>
      <c r="H92" s="134">
        <f>IF($O$79="",F92,IF($U$79=0,"ERRO",IF($U$79="O ano não está correto para o intervalo","ERRO",IF($O$79=2018,F92,ROUND((F92/$U$79)*3.2939,2)))))</f>
        <v>0</v>
      </c>
      <c r="I92" s="132"/>
      <c r="J92" s="132"/>
      <c r="K92" s="132"/>
      <c r="L92" s="132"/>
      <c r="M92" s="132"/>
      <c r="N92" s="132"/>
      <c r="O92" s="132"/>
      <c r="P92" s="132"/>
      <c r="Q92" s="132"/>
      <c r="R92" s="132"/>
      <c r="S92" s="132"/>
    </row>
    <row r="93" spans="1:23" ht="6.75" customHeight="1" x14ac:dyDescent="0.2">
      <c r="A93" s="132"/>
      <c r="B93" s="12"/>
      <c r="C93" s="50"/>
      <c r="D93" s="132"/>
      <c r="E93" s="132"/>
      <c r="F93" s="187"/>
      <c r="G93" s="132"/>
      <c r="H93" s="134"/>
      <c r="I93" s="132"/>
      <c r="J93" s="132"/>
      <c r="K93" s="132"/>
      <c r="L93" s="132"/>
      <c r="M93" s="132"/>
      <c r="N93" s="132"/>
      <c r="O93" s="132"/>
      <c r="P93" s="132"/>
      <c r="Q93" s="132"/>
      <c r="R93" s="132"/>
      <c r="S93" s="132"/>
    </row>
    <row r="94" spans="1:23" x14ac:dyDescent="0.2">
      <c r="A94" s="132"/>
      <c r="B94" s="12" t="s">
        <v>327</v>
      </c>
      <c r="C94" s="132"/>
      <c r="D94" s="50" t="s">
        <v>328</v>
      </c>
      <c r="E94" s="132"/>
      <c r="F94" s="190"/>
      <c r="G94" s="132"/>
      <c r="H94" s="134">
        <f>IF($O$79="",F94,IF($U$79=0,"ERRO",IF($U$79="O ano não está correto para o intervalo","ERRO",IF($O$79=2018,F94,ROUND((F94/$U$79)*3.2939,2)))))</f>
        <v>0</v>
      </c>
      <c r="I94" s="132"/>
      <c r="J94" s="132"/>
      <c r="K94" s="132"/>
      <c r="L94" s="132"/>
      <c r="M94" s="132"/>
      <c r="N94" s="132"/>
      <c r="O94" s="132"/>
      <c r="P94" s="132"/>
      <c r="Q94" s="132"/>
      <c r="R94" s="132"/>
      <c r="S94" s="132"/>
    </row>
    <row r="95" spans="1:23" x14ac:dyDescent="0.2">
      <c r="A95" s="132"/>
      <c r="B95" s="132"/>
      <c r="C95" s="132"/>
      <c r="D95" s="132"/>
      <c r="E95" s="132"/>
      <c r="F95" s="132"/>
      <c r="G95" s="132"/>
      <c r="H95" s="132"/>
      <c r="I95" s="132"/>
      <c r="J95" s="132"/>
      <c r="K95" s="132"/>
      <c r="L95" s="132"/>
      <c r="M95" s="132"/>
      <c r="N95" s="132"/>
      <c r="O95" s="132"/>
      <c r="P95" s="132"/>
      <c r="Q95" s="132"/>
      <c r="R95" s="132"/>
      <c r="S95" s="132"/>
    </row>
    <row r="96" spans="1:23" x14ac:dyDescent="0.2">
      <c r="A96" s="173"/>
      <c r="B96" s="138"/>
      <c r="C96" s="138"/>
      <c r="D96" s="138"/>
      <c r="T96" s="139"/>
      <c r="U96" s="139"/>
      <c r="V96" s="139"/>
      <c r="W96" s="139"/>
    </row>
    <row r="97" spans="1:23" x14ac:dyDescent="0.2">
      <c r="A97" s="173"/>
      <c r="B97" s="138"/>
      <c r="C97" s="138"/>
      <c r="D97" s="138"/>
      <c r="T97" s="139"/>
      <c r="U97" s="139"/>
      <c r="V97" s="139"/>
      <c r="W97" s="139"/>
    </row>
  </sheetData>
  <mergeCells count="21">
    <mergeCell ref="I40:R40"/>
    <mergeCell ref="I41:R41"/>
    <mergeCell ref="G79:I79"/>
    <mergeCell ref="F81:J81"/>
    <mergeCell ref="M81:R81"/>
    <mergeCell ref="F83:J83"/>
    <mergeCell ref="F84:J84"/>
    <mergeCell ref="I38:R38"/>
    <mergeCell ref="B3:R3"/>
    <mergeCell ref="B4:R4"/>
    <mergeCell ref="G7:I7"/>
    <mergeCell ref="G9:I9"/>
    <mergeCell ref="J11:R11"/>
    <mergeCell ref="F13:J13"/>
    <mergeCell ref="M13:R13"/>
    <mergeCell ref="F15:J15"/>
    <mergeCell ref="F17:J17"/>
    <mergeCell ref="I35:R35"/>
    <mergeCell ref="I36:R36"/>
    <mergeCell ref="I37:R37"/>
    <mergeCell ref="I39:R39"/>
  </mergeCells>
  <conditionalFormatting sqref="H20:H78 H86:H94">
    <cfRule type="cellIs" dxfId="42" priority="1" stopIfTrue="1" operator="equal">
      <formula>"ERRO"</formula>
    </cfRule>
    <cfRule type="cellIs" dxfId="41" priority="2" stopIfTrue="1" operator="equal">
      <formula>0</formula>
    </cfRule>
  </conditionalFormatting>
  <conditionalFormatting sqref="W79 W85 J19 W9:W11">
    <cfRule type="cellIs" dxfId="40" priority="3" stopIfTrue="1" operator="equal">
      <formula>0</formula>
    </cfRule>
    <cfRule type="cellIs" dxfId="39" priority="4" stopIfTrue="1" operator="equal">
      <formula>"O ano não está correto para o intervalo"</formula>
    </cfRule>
  </conditionalFormatting>
  <conditionalFormatting sqref="F77:G78">
    <cfRule type="cellIs" dxfId="38" priority="5" stopIfTrue="1" operator="equal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82" firstPageNumber="0" orientation="landscape" horizontalDpi="300" verticalDpi="300" r:id="rId1"/>
  <headerFooter alignWithMargins="0">
    <oddHeader xml:space="preserve">&amp;L&amp;G&amp;CTRIBUNAL DE JUSTIÇA DO ESTADO DO RIO DE JANEIRO 
CENTRAL DE ARQUIVAMENTO NUR1
</oddHeader>
    <oddFooter>&amp;LFRM-CARQ-002-01&amp;CREV.: 00                      Data: 20/04/2018&amp;R&amp;P</oddFooter>
  </headerFooter>
  <rowBreaks count="1" manualBreakCount="1">
    <brk id="51" max="18" man="1"/>
  </rowBreak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7"/>
  <sheetViews>
    <sheetView showGridLines="0" view="pageBreakPreview" topLeftCell="A67" zoomScale="106" zoomScaleNormal="100" zoomScaleSheetLayoutView="106" workbookViewId="0">
      <selection activeCell="J99" sqref="J99"/>
    </sheetView>
  </sheetViews>
  <sheetFormatPr defaultRowHeight="12.75" x14ac:dyDescent="0.2"/>
  <cols>
    <col min="1" max="1" width="3.85546875" style="139" customWidth="1"/>
    <col min="2" max="2" width="12.7109375" style="139" customWidth="1"/>
    <col min="3" max="3" width="1.28515625" style="139" customWidth="1"/>
    <col min="4" max="4" width="32.140625" style="139" customWidth="1"/>
    <col min="5" max="5" width="1.28515625" style="139" customWidth="1"/>
    <col min="6" max="6" width="14.140625" style="139" customWidth="1"/>
    <col min="7" max="7" width="1.28515625" style="139" customWidth="1"/>
    <col min="8" max="8" width="12.5703125" style="139" customWidth="1"/>
    <col min="9" max="9" width="10.7109375" style="139" customWidth="1"/>
    <col min="10" max="10" width="19.42578125" style="139" customWidth="1"/>
    <col min="11" max="11" width="3.7109375" style="139" customWidth="1"/>
    <col min="12" max="12" width="1.85546875" style="139" customWidth="1"/>
    <col min="13" max="13" width="3.85546875" style="139" customWidth="1"/>
    <col min="14" max="14" width="1.7109375" style="139" customWidth="1"/>
    <col min="15" max="15" width="5.7109375" style="139" customWidth="1"/>
    <col min="16" max="16" width="1.140625" style="139" customWidth="1"/>
    <col min="17" max="18" width="9.140625" style="139"/>
    <col min="19" max="19" width="3.7109375" style="139" customWidth="1"/>
    <col min="20" max="20" width="9.140625" style="173" hidden="1" customWidth="1"/>
    <col min="21" max="23" width="9.140625" style="138" hidden="1" customWidth="1"/>
    <col min="24" max="24" width="9.140625" style="139" hidden="1" customWidth="1"/>
    <col min="25" max="27" width="9.140625" style="139" customWidth="1"/>
    <col min="28" max="16384" width="9.140625" style="139"/>
  </cols>
  <sheetData>
    <row r="1" spans="1:23" x14ac:dyDescent="0.2">
      <c r="A1" s="132"/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74"/>
      <c r="U1" s="175"/>
      <c r="V1" s="175"/>
      <c r="W1" s="175"/>
    </row>
    <row r="2" spans="1:23" ht="3" customHeight="1" x14ac:dyDescent="0.2">
      <c r="A2" s="132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32"/>
    </row>
    <row r="3" spans="1:23" ht="22.5" x14ac:dyDescent="0.45">
      <c r="A3" s="132"/>
      <c r="B3" s="535" t="s">
        <v>289</v>
      </c>
      <c r="C3" s="535"/>
      <c r="D3" s="535"/>
      <c r="E3" s="535"/>
      <c r="F3" s="535"/>
      <c r="G3" s="535"/>
      <c r="H3" s="535"/>
      <c r="I3" s="535"/>
      <c r="J3" s="535"/>
      <c r="K3" s="535"/>
      <c r="L3" s="535"/>
      <c r="M3" s="535"/>
      <c r="N3" s="535"/>
      <c r="O3" s="535"/>
      <c r="P3" s="535"/>
      <c r="Q3" s="535"/>
      <c r="R3" s="535"/>
      <c r="S3" s="132"/>
      <c r="U3" s="175"/>
    </row>
    <row r="4" spans="1:23" ht="15.75" x14ac:dyDescent="0.25">
      <c r="A4" s="132"/>
      <c r="B4" s="543" t="s">
        <v>373</v>
      </c>
      <c r="C4" s="543"/>
      <c r="D4" s="543"/>
      <c r="E4" s="543"/>
      <c r="F4" s="543"/>
      <c r="G4" s="543"/>
      <c r="H4" s="543"/>
      <c r="I4" s="543"/>
      <c r="J4" s="543"/>
      <c r="K4" s="543"/>
      <c r="L4" s="543"/>
      <c r="M4" s="543"/>
      <c r="N4" s="543"/>
      <c r="O4" s="543"/>
      <c r="P4" s="543"/>
      <c r="Q4" s="543"/>
      <c r="R4" s="543"/>
      <c r="S4" s="132"/>
    </row>
    <row r="5" spans="1:23" ht="3" customHeight="1" x14ac:dyDescent="0.2">
      <c r="A5" s="132"/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32"/>
    </row>
    <row r="6" spans="1:23" x14ac:dyDescent="0.2">
      <c r="A6" s="132"/>
      <c r="B6" s="132"/>
      <c r="C6" s="132"/>
      <c r="D6" s="132"/>
      <c r="E6" s="132"/>
      <c r="F6" s="157"/>
      <c r="G6" s="157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</row>
    <row r="7" spans="1:23" x14ac:dyDescent="0.2">
      <c r="A7" s="132"/>
      <c r="B7" s="132"/>
      <c r="C7" s="132"/>
      <c r="D7" s="132"/>
      <c r="E7" s="132"/>
      <c r="F7" s="171" t="s">
        <v>4</v>
      </c>
      <c r="G7" s="549" t="str">
        <f>IF('Atos Serv. Jud. Lei. 6369'!H7="","",'Atos Serv. Jud. Lei. 6369'!H7)</f>
        <v/>
      </c>
      <c r="H7" s="549"/>
      <c r="I7" s="549"/>
      <c r="J7" s="176"/>
      <c r="K7" s="176"/>
      <c r="L7" s="176"/>
      <c r="M7" s="176"/>
      <c r="N7" s="176"/>
      <c r="O7" s="176"/>
      <c r="P7" s="176"/>
      <c r="Q7" s="132"/>
      <c r="R7" s="132"/>
      <c r="S7" s="132"/>
      <c r="U7" s="175"/>
      <c r="V7" s="177"/>
      <c r="W7" s="178"/>
    </row>
    <row r="8" spans="1:23" ht="6.75" customHeight="1" x14ac:dyDescent="0.2">
      <c r="A8" s="132"/>
      <c r="B8" s="132"/>
      <c r="C8" s="132"/>
      <c r="D8" s="132"/>
      <c r="E8" s="132"/>
      <c r="F8" s="179"/>
      <c r="G8" s="157"/>
      <c r="H8" s="132"/>
      <c r="I8" s="157"/>
      <c r="J8" s="157"/>
      <c r="K8" s="157"/>
      <c r="L8" s="157"/>
      <c r="M8" s="157"/>
      <c r="N8" s="157"/>
      <c r="O8" s="157"/>
      <c r="P8" s="157"/>
      <c r="Q8" s="132"/>
      <c r="R8" s="132"/>
      <c r="S8" s="132"/>
      <c r="V8" s="175"/>
    </row>
    <row r="9" spans="1:23" x14ac:dyDescent="0.2">
      <c r="A9" s="132"/>
      <c r="B9" s="132"/>
      <c r="C9" s="132"/>
      <c r="D9" s="132"/>
      <c r="E9" s="132"/>
      <c r="F9" s="171" t="s">
        <v>290</v>
      </c>
      <c r="G9" s="550"/>
      <c r="H9" s="550"/>
      <c r="I9" s="550"/>
      <c r="J9" s="180" t="s">
        <v>291</v>
      </c>
      <c r="K9" s="110"/>
      <c r="L9" s="181" t="s">
        <v>292</v>
      </c>
      <c r="M9" s="182"/>
      <c r="N9" s="181" t="s">
        <v>292</v>
      </c>
      <c r="O9" s="182"/>
      <c r="P9" s="183"/>
      <c r="Q9" s="171" t="s">
        <v>293</v>
      </c>
      <c r="R9" s="184"/>
      <c r="S9" s="132"/>
      <c r="U9" s="99">
        <f>IF(O9=0,0,IF(O9=1999,0.977,IF(O9=2000,1.0641,IF(O9=2001,1.1283,IF(O9=2002,1.213,IF(O9=2003,1.3584,IF(O9=2004,1.4924,IF(O9=2005,1.6049,V9))))))))</f>
        <v>0</v>
      </c>
      <c r="V9" s="5" t="str">
        <f>IF(O9=2006,1.6992,IF(O9=2007,1.7495,IF(O9=2008,1.8258,IF(O9=2009,1.9372,IF(O9=2010,2.0183,IF(O9=2011,2.1352,IF(O9=2012,2.2752,IF(O9=2013,2.4066,W9))))))))</f>
        <v>O ano não está correto para o intervalo</v>
      </c>
      <c r="W9" s="178" t="str">
        <f>IF(O9=2014,2.5473,IF(O9=2015,2.7119,IF(O9=2016,3.0023,IF(O9=2017,3.1999,IF(O9=2018,1,"O ano não está correto para o intervalo")))))</f>
        <v>O ano não está correto para o intervalo</v>
      </c>
    </row>
    <row r="10" spans="1:23" ht="6.75" customHeight="1" x14ac:dyDescent="0.2">
      <c r="A10" s="132"/>
      <c r="B10" s="132"/>
      <c r="C10" s="132"/>
      <c r="D10" s="132"/>
      <c r="E10" s="132"/>
      <c r="F10" s="171"/>
      <c r="G10" s="185"/>
      <c r="H10" s="185"/>
      <c r="I10" s="185"/>
      <c r="J10" s="180"/>
      <c r="K10" s="186"/>
      <c r="L10" s="181"/>
      <c r="M10" s="183"/>
      <c r="N10" s="181"/>
      <c r="O10" s="183"/>
      <c r="P10" s="183"/>
      <c r="Q10" s="171"/>
      <c r="R10" s="132"/>
      <c r="S10" s="132"/>
      <c r="U10" s="175"/>
      <c r="V10" s="175"/>
      <c r="W10" s="178"/>
    </row>
    <row r="11" spans="1:23" x14ac:dyDescent="0.2">
      <c r="A11" s="132"/>
      <c r="B11" s="132"/>
      <c r="C11" s="132"/>
      <c r="D11" s="132"/>
      <c r="E11" s="132"/>
      <c r="F11" s="171"/>
      <c r="G11" s="185"/>
      <c r="H11" s="185"/>
      <c r="I11" s="185"/>
      <c r="J11" s="547" t="str">
        <f>IF(U9="O ano não está correto para o intervalo","O ano não está correto para o intervalo","")</f>
        <v/>
      </c>
      <c r="K11" s="547"/>
      <c r="L11" s="547"/>
      <c r="M11" s="547"/>
      <c r="N11" s="547"/>
      <c r="O11" s="547"/>
      <c r="P11" s="547"/>
      <c r="Q11" s="547"/>
      <c r="R11" s="547"/>
      <c r="S11" s="132"/>
      <c r="U11" s="175"/>
      <c r="V11" s="175"/>
      <c r="W11" s="178"/>
    </row>
    <row r="12" spans="1:23" ht="6.75" customHeight="1" x14ac:dyDescent="0.2">
      <c r="A12" s="132"/>
      <c r="B12" s="132"/>
      <c r="C12" s="132"/>
      <c r="D12" s="132"/>
      <c r="E12" s="132"/>
      <c r="F12" s="132"/>
      <c r="G12" s="132"/>
      <c r="H12" s="171"/>
      <c r="I12" s="438"/>
      <c r="J12" s="438"/>
      <c r="K12" s="438"/>
      <c r="L12" s="438"/>
      <c r="M12" s="438"/>
      <c r="N12" s="438"/>
      <c r="O12" s="438"/>
      <c r="P12" s="438"/>
      <c r="Q12" s="132"/>
      <c r="R12" s="132"/>
      <c r="S12" s="132"/>
      <c r="V12" s="175" t="s">
        <v>294</v>
      </c>
      <c r="W12" s="175" t="s">
        <v>295</v>
      </c>
    </row>
    <row r="13" spans="1:23" ht="12.75" customHeight="1" x14ac:dyDescent="0.2">
      <c r="A13" s="132"/>
      <c r="B13" s="132"/>
      <c r="C13" s="132"/>
      <c r="D13" s="132"/>
      <c r="E13" s="132"/>
      <c r="F13" s="551" t="s">
        <v>296</v>
      </c>
      <c r="G13" s="551"/>
      <c r="H13" s="551"/>
      <c r="I13" s="551"/>
      <c r="J13" s="551"/>
      <c r="K13" s="20"/>
      <c r="L13" s="438"/>
      <c r="M13" s="512" t="str">
        <f>IF(T13&gt;1,"Escolher uma opção","")</f>
        <v/>
      </c>
      <c r="N13" s="512"/>
      <c r="O13" s="512"/>
      <c r="P13" s="512"/>
      <c r="Q13" s="512"/>
      <c r="R13" s="512"/>
      <c r="S13" s="132"/>
      <c r="T13" s="138">
        <f>COUNTA(K13,K15,K17)</f>
        <v>0</v>
      </c>
      <c r="U13" s="175">
        <f>(H20+H24+H26+H28+H30+H32+H35+H37+H41)*0.05</f>
        <v>0</v>
      </c>
      <c r="V13" s="175">
        <f>IF($T$13&gt;1,0,IF(K13="",0,$U$13))</f>
        <v>0</v>
      </c>
      <c r="W13" s="175">
        <f>V13</f>
        <v>0</v>
      </c>
    </row>
    <row r="14" spans="1:23" ht="6.75" customHeight="1" x14ac:dyDescent="0.2">
      <c r="A14" s="132"/>
      <c r="B14" s="132"/>
      <c r="C14" s="132"/>
      <c r="D14" s="132"/>
      <c r="E14" s="132"/>
      <c r="F14" s="187"/>
      <c r="G14" s="187"/>
      <c r="H14" s="187"/>
      <c r="I14" s="187"/>
      <c r="J14" s="187"/>
      <c r="K14" s="7"/>
      <c r="L14" s="438"/>
      <c r="M14" s="437"/>
      <c r="N14" s="437"/>
      <c r="O14" s="437"/>
      <c r="P14" s="437"/>
      <c r="Q14" s="437"/>
      <c r="R14" s="437"/>
      <c r="S14" s="132"/>
      <c r="T14" s="138"/>
      <c r="U14" s="175"/>
      <c r="V14" s="175"/>
      <c r="W14" s="175"/>
    </row>
    <row r="15" spans="1:23" ht="12.75" customHeight="1" x14ac:dyDescent="0.2">
      <c r="A15" s="132"/>
      <c r="B15" s="132"/>
      <c r="C15" s="132"/>
      <c r="D15" s="132"/>
      <c r="E15" s="132"/>
      <c r="F15" s="551" t="s">
        <v>297</v>
      </c>
      <c r="G15" s="551"/>
      <c r="H15" s="551"/>
      <c r="I15" s="551"/>
      <c r="J15" s="551"/>
      <c r="K15" s="20"/>
      <c r="L15" s="438"/>
      <c r="M15" s="437"/>
      <c r="N15" s="437"/>
      <c r="O15" s="437"/>
      <c r="P15" s="437"/>
      <c r="Q15" s="437"/>
      <c r="R15" s="437"/>
      <c r="S15" s="132"/>
      <c r="T15" s="138"/>
      <c r="U15" s="175"/>
      <c r="V15" s="175">
        <f>IF(T13&gt;1,0,IF(K15="",0,$U$13-$U$17))</f>
        <v>0</v>
      </c>
      <c r="W15" s="175">
        <f>IF($T$13&gt;1,0,IF(K15="",0,$U$13))</f>
        <v>0</v>
      </c>
    </row>
    <row r="16" spans="1:23" ht="6.75" customHeight="1" x14ac:dyDescent="0.2">
      <c r="A16" s="132"/>
      <c r="B16" s="132"/>
      <c r="C16" s="132"/>
      <c r="D16" s="132"/>
      <c r="E16" s="132"/>
      <c r="F16" s="132"/>
      <c r="G16" s="132"/>
      <c r="H16" s="171"/>
      <c r="I16" s="438"/>
      <c r="J16" s="438"/>
      <c r="K16" s="7"/>
      <c r="L16" s="438"/>
      <c r="M16" s="438"/>
      <c r="N16" s="438"/>
      <c r="O16" s="438"/>
      <c r="P16" s="438"/>
      <c r="Q16" s="132"/>
      <c r="R16" s="132"/>
      <c r="S16" s="132"/>
      <c r="U16" s="175"/>
      <c r="V16" s="175"/>
      <c r="W16" s="175"/>
    </row>
    <row r="17" spans="1:23" ht="12.75" customHeight="1" x14ac:dyDescent="0.2">
      <c r="A17" s="132"/>
      <c r="B17" s="132"/>
      <c r="C17" s="132"/>
      <c r="D17" s="132"/>
      <c r="E17" s="132"/>
      <c r="F17" s="551" t="s">
        <v>298</v>
      </c>
      <c r="G17" s="551"/>
      <c r="H17" s="551"/>
      <c r="I17" s="551"/>
      <c r="J17" s="551"/>
      <c r="K17" s="20"/>
      <c r="L17" s="438"/>
      <c r="M17" s="438"/>
      <c r="N17" s="438"/>
      <c r="O17" s="438"/>
      <c r="P17" s="438"/>
      <c r="Q17" s="132"/>
      <c r="R17" s="132"/>
      <c r="S17" s="132"/>
      <c r="U17" s="175">
        <f>(H20+H24+H26+H28+H30+H32+H35+H37)*0.05</f>
        <v>0</v>
      </c>
      <c r="V17" s="175">
        <f>IF(T13&gt;1,0,IF(K17="",0,$U$13-$U$17))</f>
        <v>0</v>
      </c>
      <c r="W17" s="175"/>
    </row>
    <row r="18" spans="1:23" ht="6.75" customHeight="1" x14ac:dyDescent="0.2">
      <c r="A18" s="132"/>
      <c r="B18" s="132"/>
      <c r="C18" s="132"/>
      <c r="D18" s="132"/>
      <c r="E18" s="132"/>
      <c r="F18" s="132"/>
      <c r="G18" s="132"/>
      <c r="H18" s="171"/>
      <c r="I18" s="438"/>
      <c r="J18" s="438"/>
      <c r="K18" s="438"/>
      <c r="L18" s="438"/>
      <c r="M18" s="438"/>
      <c r="N18" s="438"/>
      <c r="O18" s="438"/>
      <c r="P18" s="438"/>
      <c r="Q18" s="132"/>
      <c r="R18" s="132"/>
      <c r="S18" s="132"/>
    </row>
    <row r="19" spans="1:23" ht="38.25" x14ac:dyDescent="0.2">
      <c r="A19" s="132"/>
      <c r="B19" s="188" t="s">
        <v>299</v>
      </c>
      <c r="C19" s="188"/>
      <c r="D19" s="188" t="s">
        <v>300</v>
      </c>
      <c r="E19" s="188"/>
      <c r="F19" s="188" t="s">
        <v>301</v>
      </c>
      <c r="G19" s="188"/>
      <c r="H19" s="188" t="s">
        <v>302</v>
      </c>
      <c r="I19" s="132"/>
      <c r="J19" s="158"/>
      <c r="K19" s="132"/>
      <c r="L19" s="132"/>
      <c r="M19" s="132"/>
      <c r="N19" s="132"/>
      <c r="O19" s="132"/>
      <c r="P19" s="132"/>
      <c r="Q19" s="132"/>
      <c r="R19" s="132"/>
      <c r="S19" s="132"/>
      <c r="U19" s="189" t="s">
        <v>303</v>
      </c>
      <c r="V19" s="189">
        <f>SUM(V13:V17)</f>
        <v>0</v>
      </c>
      <c r="W19" s="189">
        <f>SUM(W13:W17)</f>
        <v>0</v>
      </c>
    </row>
    <row r="20" spans="1:23" x14ac:dyDescent="0.2">
      <c r="A20" s="132"/>
      <c r="B20" s="12" t="s">
        <v>304</v>
      </c>
      <c r="C20" s="12"/>
      <c r="D20" s="50" t="s">
        <v>305</v>
      </c>
      <c r="E20" s="50"/>
      <c r="F20" s="190"/>
      <c r="G20" s="439"/>
      <c r="H20" s="134">
        <f>IF($O$9="",F20,IF($U$9=0,"ERRO",IF($U$9="O ano não está correto para o intervalo","ERRO",IF($O$9=2018,F20,ROUND((F20/$U$9)*3.2939,2)))))</f>
        <v>0</v>
      </c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132"/>
    </row>
    <row r="21" spans="1:23" ht="6.75" customHeight="1" x14ac:dyDescent="0.2">
      <c r="A21" s="132"/>
      <c r="B21" s="12"/>
      <c r="C21" s="12"/>
      <c r="D21" s="50"/>
      <c r="E21" s="50"/>
      <c r="F21" s="439"/>
      <c r="G21" s="439"/>
      <c r="H21" s="134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</row>
    <row r="22" spans="1:23" x14ac:dyDescent="0.2">
      <c r="A22" s="132"/>
      <c r="B22" s="12"/>
      <c r="C22" s="12"/>
      <c r="D22" s="50" t="s">
        <v>306</v>
      </c>
      <c r="E22" s="50"/>
      <c r="F22" s="190"/>
      <c r="G22" s="439"/>
      <c r="H22" s="134">
        <f>IF($O$9="",F22,IF($U$9=0,"ERRO",IF($U$9="O ano não está correto para o intervalo","ERRO",IF($O$9=2018,F22,ROUND((F22/$U$9)*3.2939,2)))))</f>
        <v>0</v>
      </c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</row>
    <row r="23" spans="1:23" ht="6.75" customHeight="1" x14ac:dyDescent="0.2">
      <c r="A23" s="132"/>
      <c r="B23" s="12"/>
      <c r="C23" s="12"/>
      <c r="D23" s="50"/>
      <c r="E23" s="50"/>
      <c r="F23" s="439"/>
      <c r="G23" s="439"/>
      <c r="H23" s="134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</row>
    <row r="24" spans="1:23" x14ac:dyDescent="0.2">
      <c r="A24" s="132"/>
      <c r="B24" s="12" t="s">
        <v>307</v>
      </c>
      <c r="C24" s="12"/>
      <c r="D24" s="50" t="s">
        <v>308</v>
      </c>
      <c r="E24" s="50"/>
      <c r="F24" s="190"/>
      <c r="G24" s="439"/>
      <c r="H24" s="134">
        <f>IF($O$9="",F24,IF($U$9=0,"ERRO",IF($U$9="O ano não está correto para o intervalo","ERRO",IF($O$9=2018,F24,ROUND((F24/$U$9)*3.2939,2)))))</f>
        <v>0</v>
      </c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</row>
    <row r="25" spans="1:23" ht="6.75" customHeight="1" x14ac:dyDescent="0.2">
      <c r="A25" s="132"/>
      <c r="B25" s="12"/>
      <c r="C25" s="12"/>
      <c r="D25" s="50"/>
      <c r="E25" s="50"/>
      <c r="F25" s="439"/>
      <c r="G25" s="439"/>
      <c r="H25" s="134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</row>
    <row r="26" spans="1:23" ht="12.75" customHeight="1" x14ac:dyDescent="0.2">
      <c r="A26" s="132"/>
      <c r="B26" s="12" t="s">
        <v>309</v>
      </c>
      <c r="C26" s="12"/>
      <c r="D26" s="50" t="s">
        <v>310</v>
      </c>
      <c r="E26" s="50"/>
      <c r="F26" s="190"/>
      <c r="G26" s="439"/>
      <c r="H26" s="134">
        <f>IF($O$9="",F26,IF($U$9=0,"ERRO",IF($U$9="O ano não está correto para o intervalo","ERRO",IF($O$9=2018,F26,ROUND((F26/$U$9)*3.2939,2)))))</f>
        <v>0</v>
      </c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</row>
    <row r="27" spans="1:23" ht="6.75" customHeight="1" x14ac:dyDescent="0.2">
      <c r="A27" s="132"/>
      <c r="B27" s="12"/>
      <c r="C27" s="12"/>
      <c r="D27" s="50"/>
      <c r="E27" s="50"/>
      <c r="F27" s="439"/>
      <c r="G27" s="439"/>
      <c r="H27" s="134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</row>
    <row r="28" spans="1:23" x14ac:dyDescent="0.2">
      <c r="A28" s="132"/>
      <c r="B28" s="12" t="s">
        <v>311</v>
      </c>
      <c r="C28" s="12"/>
      <c r="D28" s="50" t="s">
        <v>312</v>
      </c>
      <c r="E28" s="50"/>
      <c r="F28" s="190"/>
      <c r="G28" s="439"/>
      <c r="H28" s="134">
        <f>IF($O$9="",F28,IF($U$9=0,"ERRO",IF($U$9="O ano não está correto para o intervalo","ERRO",IF($O$9=2018,F28,ROUND((F28/$U$9)*3.2939,2)))))</f>
        <v>0</v>
      </c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</row>
    <row r="29" spans="1:23" ht="6.75" customHeight="1" x14ac:dyDescent="0.2">
      <c r="A29" s="132"/>
      <c r="B29" s="12"/>
      <c r="C29" s="12"/>
      <c r="D29" s="50"/>
      <c r="E29" s="50"/>
      <c r="F29" s="330"/>
      <c r="G29" s="439"/>
      <c r="H29" s="134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</row>
    <row r="30" spans="1:23" ht="12.75" customHeight="1" x14ac:dyDescent="0.2">
      <c r="A30" s="132"/>
      <c r="B30" s="12" t="s">
        <v>313</v>
      </c>
      <c r="C30" s="12"/>
      <c r="D30" s="50" t="s">
        <v>314</v>
      </c>
      <c r="E30" s="50"/>
      <c r="F30" s="190"/>
      <c r="G30" s="439"/>
      <c r="H30" s="134">
        <f>IF($O$9="",F30,IF($U$9=0,"ERRO",IF($U$9="O ano não está correto para o intervalo","ERRO",IF($O$9=2018,F30,ROUND((F30/$U$9)*3.2939,2)))))</f>
        <v>0</v>
      </c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</row>
    <row r="31" spans="1:23" ht="6.75" customHeight="1" x14ac:dyDescent="0.2">
      <c r="A31" s="132"/>
      <c r="B31" s="12"/>
      <c r="C31" s="12"/>
      <c r="D31" s="50"/>
      <c r="E31" s="50"/>
      <c r="F31" s="439"/>
      <c r="G31" s="439"/>
      <c r="H31" s="134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</row>
    <row r="32" spans="1:23" ht="12.75" customHeight="1" x14ac:dyDescent="0.2">
      <c r="A32" s="132"/>
      <c r="B32" s="12" t="s">
        <v>315</v>
      </c>
      <c r="C32" s="12"/>
      <c r="D32" s="50" t="s">
        <v>316</v>
      </c>
      <c r="E32" s="50"/>
      <c r="F32" s="190"/>
      <c r="G32" s="439"/>
      <c r="H32" s="134">
        <f>IF($O$9="",F32,IF($U$9=0,"ERRO",IF($U$9="O ano não está correto para o intervalo","ERRO",IF($O$9=2018,F32,ROUND((F32/$U$9)*3.2939,2)))))</f>
        <v>0</v>
      </c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</row>
    <row r="33" spans="1:21" ht="6" customHeight="1" x14ac:dyDescent="0.2">
      <c r="A33" s="132"/>
      <c r="B33" s="12"/>
      <c r="C33" s="12"/>
      <c r="D33" s="50"/>
      <c r="E33" s="50"/>
      <c r="F33" s="330"/>
      <c r="G33" s="439"/>
      <c r="H33" s="134"/>
      <c r="I33" s="132"/>
      <c r="J33" s="132"/>
      <c r="K33" s="132"/>
      <c r="L33" s="132"/>
      <c r="M33" s="132"/>
      <c r="N33" s="132"/>
      <c r="O33" s="132"/>
      <c r="P33" s="132"/>
      <c r="Q33" s="132"/>
      <c r="R33" s="132"/>
      <c r="S33" s="132"/>
    </row>
    <row r="34" spans="1:21" ht="6.75" customHeight="1" x14ac:dyDescent="0.2">
      <c r="A34" s="132"/>
      <c r="B34" s="12"/>
      <c r="C34" s="12"/>
      <c r="D34" s="50"/>
      <c r="E34" s="50"/>
      <c r="F34" s="439"/>
      <c r="G34" s="439"/>
      <c r="H34" s="134"/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132"/>
    </row>
    <row r="35" spans="1:21" ht="12.75" customHeight="1" x14ac:dyDescent="0.2">
      <c r="A35" s="132"/>
      <c r="B35" s="191"/>
      <c r="C35" s="12"/>
      <c r="D35" s="192"/>
      <c r="E35" s="50"/>
      <c r="F35" s="190"/>
      <c r="G35" s="439"/>
      <c r="H35" s="134">
        <f>IF($O$9="",F35,IF($U$9=0,"ERRO",IF($U$9="O ano não está correto para o intervalo","ERRO",IF($O$9=2018,F35,ROUND((F35/$U$9)*3.2939,2)))))</f>
        <v>0</v>
      </c>
      <c r="I35" s="512" t="str">
        <f>IF(B35="","Falta preencher o Código da Receita",IF(B35=Certidão!B24,"","Recolhimento em conta diversa"))</f>
        <v>Falta preencher o Código da Receita</v>
      </c>
      <c r="J35" s="512"/>
      <c r="K35" s="512"/>
      <c r="L35" s="512"/>
      <c r="M35" s="512"/>
      <c r="N35" s="512"/>
      <c r="O35" s="512"/>
      <c r="P35" s="512"/>
      <c r="Q35" s="512"/>
      <c r="R35" s="512"/>
      <c r="S35" s="132"/>
    </row>
    <row r="36" spans="1:21" ht="6.75" customHeight="1" x14ac:dyDescent="0.2">
      <c r="A36" s="132"/>
      <c r="B36" s="12"/>
      <c r="C36" s="12"/>
      <c r="D36" s="50"/>
      <c r="E36" s="50"/>
      <c r="F36" s="439"/>
      <c r="G36" s="439"/>
      <c r="H36" s="134"/>
      <c r="I36" s="512"/>
      <c r="J36" s="512"/>
      <c r="K36" s="512"/>
      <c r="L36" s="512"/>
      <c r="M36" s="512"/>
      <c r="N36" s="512"/>
      <c r="O36" s="512"/>
      <c r="P36" s="512"/>
      <c r="Q36" s="512"/>
      <c r="R36" s="512"/>
      <c r="S36" s="132"/>
    </row>
    <row r="37" spans="1:21" ht="12.75" customHeight="1" x14ac:dyDescent="0.2">
      <c r="A37" s="132"/>
      <c r="B37" s="184"/>
      <c r="C37" s="12"/>
      <c r="D37" s="184"/>
      <c r="E37" s="50"/>
      <c r="F37" s="190"/>
      <c r="G37" s="439"/>
      <c r="H37" s="134">
        <f>IF($O$9="",F37,IF($U$9=0,"ERRO",IF($U$9="O ano não está correto para o intervalo","ERRO",IF($O$9=2018,F37,ROUND((F37/$U$9)*3.2939,2)))))</f>
        <v>0</v>
      </c>
      <c r="I37" s="512" t="str">
        <f>IF(B37="","Falta preencher o Código da Receita",IF(B37=Certidão!B25,"","Recolhimento em conta diversa"))</f>
        <v>Falta preencher o Código da Receita</v>
      </c>
      <c r="J37" s="512"/>
      <c r="K37" s="512"/>
      <c r="L37" s="512"/>
      <c r="M37" s="512"/>
      <c r="N37" s="512"/>
      <c r="O37" s="512"/>
      <c r="P37" s="512"/>
      <c r="Q37" s="512"/>
      <c r="R37" s="512"/>
      <c r="S37" s="132"/>
    </row>
    <row r="38" spans="1:21" ht="6.75" customHeight="1" x14ac:dyDescent="0.2">
      <c r="A38" s="132"/>
      <c r="B38" s="12"/>
      <c r="C38" s="12"/>
      <c r="D38" s="50"/>
      <c r="E38" s="50"/>
      <c r="F38" s="439"/>
      <c r="G38" s="439"/>
      <c r="H38" s="134"/>
      <c r="I38" s="512"/>
      <c r="J38" s="512"/>
      <c r="K38" s="512"/>
      <c r="L38" s="512"/>
      <c r="M38" s="512"/>
      <c r="N38" s="512"/>
      <c r="O38" s="512"/>
      <c r="P38" s="512"/>
      <c r="Q38" s="512"/>
      <c r="R38" s="512"/>
      <c r="S38" s="132"/>
    </row>
    <row r="39" spans="1:21" x14ac:dyDescent="0.2">
      <c r="A39" s="132"/>
      <c r="B39" s="12" t="s">
        <v>317</v>
      </c>
      <c r="C39" s="12"/>
      <c r="D39" s="50" t="s">
        <v>318</v>
      </c>
      <c r="E39" s="50"/>
      <c r="F39" s="190"/>
      <c r="G39" s="439"/>
      <c r="H39" s="134">
        <f>IF($O$9="",F39,IF($U$9=0,"ERRO",IF($U$9="O ano não está correto para o intervalo","ERRO",IF($O$9=2018,F39,ROUND((F39/$U$9)*3.2939,2)))))</f>
        <v>0</v>
      </c>
      <c r="I39" s="512"/>
      <c r="J39" s="512"/>
      <c r="K39" s="512"/>
      <c r="L39" s="512"/>
      <c r="M39" s="512"/>
      <c r="N39" s="512"/>
      <c r="O39" s="512"/>
      <c r="P39" s="512"/>
      <c r="Q39" s="512"/>
      <c r="R39" s="512"/>
      <c r="S39" s="132"/>
    </row>
    <row r="40" spans="1:21" ht="6.75" customHeight="1" x14ac:dyDescent="0.2">
      <c r="A40" s="132"/>
      <c r="B40" s="12"/>
      <c r="C40" s="12"/>
      <c r="D40" s="50"/>
      <c r="E40" s="50"/>
      <c r="F40" s="439"/>
      <c r="G40" s="439"/>
      <c r="H40" s="134"/>
      <c r="I40" s="512"/>
      <c r="J40" s="512"/>
      <c r="K40" s="512"/>
      <c r="L40" s="512"/>
      <c r="M40" s="512"/>
      <c r="N40" s="512"/>
      <c r="O40" s="512"/>
      <c r="P40" s="512"/>
      <c r="Q40" s="512"/>
      <c r="R40" s="512"/>
      <c r="S40" s="132"/>
    </row>
    <row r="41" spans="1:21" x14ac:dyDescent="0.2">
      <c r="A41" s="132"/>
      <c r="B41" s="193"/>
      <c r="C41" s="194"/>
      <c r="D41" s="50" t="s">
        <v>319</v>
      </c>
      <c r="E41" s="50"/>
      <c r="F41" s="190"/>
      <c r="G41" s="439"/>
      <c r="H41" s="134">
        <f>IF($O$9="",F41,IF($U$9=0,"ERRO",IF($U$9="O ano não está correto para o intervalo","ERRO",IF($O$9=2018,F41,ROUND((F41/$U$9)*3.2939,2)))))</f>
        <v>0</v>
      </c>
      <c r="I41" s="512" t="str">
        <f>IF(B41="","Falta preencher o Código da Receita",IF(B41=Certidão!B27,"","Recolhimento em conta diversa"))</f>
        <v>Falta preencher o Código da Receita</v>
      </c>
      <c r="J41" s="512"/>
      <c r="K41" s="512"/>
      <c r="L41" s="512"/>
      <c r="M41" s="512"/>
      <c r="N41" s="512"/>
      <c r="O41" s="512"/>
      <c r="P41" s="512"/>
      <c r="Q41" s="512"/>
      <c r="R41" s="512"/>
      <c r="S41" s="132"/>
      <c r="U41" s="139">
        <f>IF(I41="Recolhimento em conta diversa",0,H41)</f>
        <v>0</v>
      </c>
    </row>
    <row r="42" spans="1:21" ht="6.75" customHeight="1" x14ac:dyDescent="0.2">
      <c r="A42" s="132"/>
      <c r="B42" s="195"/>
      <c r="C42" s="194"/>
      <c r="D42" s="50"/>
      <c r="E42" s="50"/>
      <c r="F42" s="133"/>
      <c r="G42" s="439"/>
      <c r="H42" s="134"/>
      <c r="I42" s="437"/>
      <c r="J42" s="437"/>
      <c r="K42" s="437"/>
      <c r="L42" s="437"/>
      <c r="M42" s="437"/>
      <c r="N42" s="437"/>
      <c r="O42" s="437"/>
      <c r="P42" s="437"/>
      <c r="Q42" s="437"/>
      <c r="R42" s="437"/>
      <c r="S42" s="132"/>
      <c r="U42" s="139"/>
    </row>
    <row r="43" spans="1:21" x14ac:dyDescent="0.2">
      <c r="A43" s="132"/>
      <c r="B43" s="193"/>
      <c r="C43" s="194"/>
      <c r="D43" s="50" t="s">
        <v>320</v>
      </c>
      <c r="E43" s="50"/>
      <c r="F43" s="190"/>
      <c r="G43" s="439"/>
      <c r="H43" s="134">
        <f>IF($O$9="",F43,IF($U$9=0,"ERRO",IF($U$9="O ano não está correto para o intervalo","ERRO",IF($O$9=2018,F43,ROUND((F43/$U$9)*3.2939,2)))))</f>
        <v>0</v>
      </c>
      <c r="I43" s="437"/>
      <c r="J43" s="437"/>
      <c r="K43" s="437"/>
      <c r="L43" s="437"/>
      <c r="M43" s="437"/>
      <c r="N43" s="437"/>
      <c r="O43" s="437"/>
      <c r="P43" s="437"/>
      <c r="Q43" s="437"/>
      <c r="R43" s="437"/>
      <c r="S43" s="132"/>
      <c r="U43" s="139"/>
    </row>
    <row r="44" spans="1:21" ht="6.75" customHeight="1" x14ac:dyDescent="0.2">
      <c r="A44" s="132"/>
      <c r="B44" s="194"/>
      <c r="C44" s="194"/>
      <c r="D44" s="50"/>
      <c r="E44" s="50"/>
      <c r="F44" s="439"/>
      <c r="G44" s="439"/>
      <c r="H44" s="134"/>
      <c r="I44" s="132"/>
      <c r="J44" s="132"/>
      <c r="K44" s="132"/>
      <c r="L44" s="132"/>
      <c r="M44" s="132"/>
      <c r="N44" s="132"/>
      <c r="O44" s="132"/>
      <c r="P44" s="132"/>
      <c r="Q44" s="132"/>
      <c r="R44" s="132"/>
      <c r="S44" s="132"/>
    </row>
    <row r="45" spans="1:21" x14ac:dyDescent="0.2">
      <c r="A45" s="132"/>
      <c r="B45" s="194" t="s">
        <v>321</v>
      </c>
      <c r="C45" s="194"/>
      <c r="D45" s="50" t="s">
        <v>322</v>
      </c>
      <c r="E45" s="50"/>
      <c r="F45" s="190"/>
      <c r="G45" s="439"/>
      <c r="H45" s="134">
        <f>IF($O$9="",F45,IF($U$9=0,"ERRO",IF($U$9="O ano não está correto para o intervalo","ERRO",IF($O$9=2018,F45,ROUND((F45/$U$9)*3.2939,2)))))</f>
        <v>0</v>
      </c>
      <c r="I45" s="132"/>
      <c r="J45" s="132"/>
      <c r="K45" s="132"/>
      <c r="L45" s="132"/>
      <c r="M45" s="132"/>
      <c r="N45" s="132"/>
      <c r="O45" s="132"/>
      <c r="P45" s="132"/>
      <c r="Q45" s="132"/>
      <c r="R45" s="132"/>
      <c r="S45" s="132"/>
      <c r="U45" s="175" t="str">
        <f>IF(I41="Recolhimento em conta diversa","D","")</f>
        <v/>
      </c>
    </row>
    <row r="46" spans="1:21" ht="6.75" customHeight="1" x14ac:dyDescent="0.2">
      <c r="A46" s="132"/>
      <c r="B46" s="194"/>
      <c r="C46" s="194"/>
      <c r="D46" s="50"/>
      <c r="E46" s="50"/>
      <c r="F46" s="439"/>
      <c r="G46" s="439"/>
      <c r="H46" s="134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2"/>
    </row>
    <row r="47" spans="1:21" x14ac:dyDescent="0.2">
      <c r="A47" s="132"/>
      <c r="B47" s="12" t="s">
        <v>323</v>
      </c>
      <c r="C47" s="12"/>
      <c r="D47" s="50" t="s">
        <v>324</v>
      </c>
      <c r="E47" s="50"/>
      <c r="F47" s="190"/>
      <c r="G47" s="439"/>
      <c r="H47" s="134">
        <f>IF($O$9="",F47,IF($U$9=0,"ERRO",IF($U$9="O ano não está correto para o intervalo","ERRO",IF($O$9=2018,F47,ROUND((F47/$U$9)*3.2939,2)))))</f>
        <v>0</v>
      </c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U47" s="138">
        <f>IF(I41="Recolhimento em conta diversa",1,0)</f>
        <v>0</v>
      </c>
    </row>
    <row r="48" spans="1:21" ht="6.75" customHeight="1" x14ac:dyDescent="0.2">
      <c r="A48" s="132"/>
      <c r="B48" s="12"/>
      <c r="C48" s="12"/>
      <c r="D48" s="50"/>
      <c r="E48" s="50"/>
      <c r="F48" s="439"/>
      <c r="G48" s="439"/>
      <c r="H48" s="134"/>
      <c r="I48" s="132"/>
      <c r="J48" s="132"/>
      <c r="K48" s="132"/>
      <c r="L48" s="132"/>
      <c r="M48" s="132"/>
      <c r="N48" s="132"/>
      <c r="O48" s="132"/>
      <c r="P48" s="132"/>
      <c r="Q48" s="132"/>
      <c r="R48" s="132"/>
      <c r="S48" s="132"/>
    </row>
    <row r="49" spans="1:19" ht="13.5" customHeight="1" x14ac:dyDescent="0.2">
      <c r="A49" s="132"/>
      <c r="B49" s="12" t="s">
        <v>325</v>
      </c>
      <c r="C49" s="12"/>
      <c r="D49" s="50" t="s">
        <v>326</v>
      </c>
      <c r="E49" s="50"/>
      <c r="F49" s="190"/>
      <c r="G49" s="439"/>
      <c r="H49" s="134">
        <f>IF($O$9="",F49,IF($U$9=0,"ERRO",IF($U$9="O ano não está correto para o intervalo","ERRO",IF($O$9=2018,F49,ROUND((F49/$U$9)*3.2939,2)))))</f>
        <v>0</v>
      </c>
      <c r="I49" s="132"/>
      <c r="J49" s="132"/>
      <c r="K49" s="132"/>
      <c r="L49" s="132"/>
      <c r="M49" s="132"/>
      <c r="N49" s="132"/>
      <c r="O49" s="132"/>
      <c r="P49" s="132"/>
      <c r="Q49" s="132"/>
      <c r="R49" s="132"/>
      <c r="S49" s="132"/>
    </row>
    <row r="50" spans="1:19" ht="6.75" customHeight="1" x14ac:dyDescent="0.2">
      <c r="A50" s="132"/>
      <c r="B50" s="12"/>
      <c r="C50" s="12"/>
      <c r="D50" s="50"/>
      <c r="E50" s="50"/>
      <c r="F50" s="439"/>
      <c r="G50" s="439"/>
      <c r="H50" s="134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</row>
    <row r="51" spans="1:19" x14ac:dyDescent="0.2">
      <c r="A51" s="132"/>
      <c r="B51" s="12" t="s">
        <v>327</v>
      </c>
      <c r="C51" s="12"/>
      <c r="D51" s="50" t="s">
        <v>328</v>
      </c>
      <c r="E51" s="50"/>
      <c r="F51" s="190"/>
      <c r="G51" s="439"/>
      <c r="H51" s="134">
        <f>IF($O$9="",F51,IF($U$9=0,"ERRO",IF($U$9="O ano não está correto para o intervalo","ERRO",IF($O$9=2018,F51,ROUND((F51/$U$9)*3.2939,2)))))</f>
        <v>0</v>
      </c>
      <c r="I51" s="132"/>
      <c r="J51" s="132"/>
      <c r="K51" s="132"/>
      <c r="L51" s="132"/>
      <c r="M51" s="132"/>
      <c r="N51" s="132"/>
      <c r="O51" s="132"/>
      <c r="P51" s="132"/>
      <c r="Q51" s="132"/>
      <c r="R51" s="132"/>
      <c r="S51" s="132"/>
    </row>
    <row r="52" spans="1:19" ht="6.75" customHeight="1" x14ac:dyDescent="0.2">
      <c r="A52" s="132"/>
      <c r="B52" s="132"/>
      <c r="C52" s="132"/>
      <c r="D52" s="132"/>
      <c r="E52" s="132"/>
      <c r="F52" s="170"/>
      <c r="G52" s="170"/>
      <c r="H52" s="134"/>
      <c r="I52" s="132"/>
      <c r="J52" s="132"/>
      <c r="K52" s="132"/>
      <c r="L52" s="132"/>
      <c r="M52" s="132"/>
      <c r="N52" s="132"/>
      <c r="O52" s="132"/>
      <c r="P52" s="132"/>
      <c r="Q52" s="132"/>
      <c r="R52" s="132"/>
      <c r="S52" s="132"/>
    </row>
    <row r="53" spans="1:19" ht="12.75" customHeight="1" x14ac:dyDescent="0.2">
      <c r="A53" s="132"/>
      <c r="B53" s="196"/>
      <c r="C53" s="132"/>
      <c r="D53" s="166" t="s">
        <v>319</v>
      </c>
      <c r="E53" s="166"/>
      <c r="F53" s="190"/>
      <c r="G53" s="170"/>
      <c r="H53" s="134">
        <f>IF($O$9="",F53,IF($U$9=0,"ERRO",IF($U$9="O ano não está correto para o intervalo","ERRO",IF($O$9=2018,F53,ROUND((F53/$U$9)*3.2939,2)))))</f>
        <v>0</v>
      </c>
      <c r="I53" s="132"/>
      <c r="J53" s="132"/>
      <c r="K53" s="132"/>
      <c r="L53" s="132"/>
      <c r="M53" s="132"/>
      <c r="N53" s="132"/>
      <c r="O53" s="132"/>
      <c r="P53" s="132"/>
      <c r="Q53" s="132"/>
      <c r="R53" s="132"/>
      <c r="S53" s="132"/>
    </row>
    <row r="54" spans="1:19" ht="6.75" customHeight="1" x14ac:dyDescent="0.2">
      <c r="A54" s="132"/>
      <c r="B54" s="197"/>
      <c r="C54" s="132"/>
      <c r="D54" s="166"/>
      <c r="E54" s="166"/>
      <c r="F54" s="198"/>
      <c r="G54" s="170"/>
      <c r="H54" s="134"/>
      <c r="I54" s="132"/>
      <c r="J54" s="132"/>
      <c r="K54" s="132"/>
      <c r="L54" s="132"/>
      <c r="M54" s="132"/>
      <c r="N54" s="132"/>
      <c r="O54" s="132"/>
      <c r="P54" s="132"/>
      <c r="Q54" s="132"/>
      <c r="R54" s="132"/>
      <c r="S54" s="132"/>
    </row>
    <row r="55" spans="1:19" ht="12.75" customHeight="1" x14ac:dyDescent="0.2">
      <c r="A55" s="132"/>
      <c r="B55" s="196"/>
      <c r="C55" s="132"/>
      <c r="D55" s="50" t="s">
        <v>320</v>
      </c>
      <c r="E55" s="166"/>
      <c r="F55" s="190"/>
      <c r="G55" s="170"/>
      <c r="H55" s="134">
        <f>IF($O$9="",F55,IF($U$9=0,"ERRO",IF($U$9="O ano não está correto para o intervalo","ERRO",IF($O$9=2018,F55,ROUND((F55/$U$9)*3.2939,2)))))</f>
        <v>0</v>
      </c>
      <c r="I55" s="132"/>
      <c r="J55" s="132"/>
      <c r="K55" s="132"/>
      <c r="L55" s="132"/>
      <c r="M55" s="132"/>
      <c r="N55" s="132"/>
      <c r="O55" s="132"/>
      <c r="P55" s="132"/>
      <c r="Q55" s="132"/>
      <c r="R55" s="132"/>
      <c r="S55" s="132"/>
    </row>
    <row r="56" spans="1:19" ht="6.75" customHeight="1" x14ac:dyDescent="0.2">
      <c r="A56" s="132"/>
      <c r="B56" s="166"/>
      <c r="C56" s="132"/>
      <c r="D56" s="166"/>
      <c r="E56" s="166"/>
      <c r="F56" s="170"/>
      <c r="G56" s="170"/>
      <c r="H56" s="134"/>
      <c r="I56" s="132"/>
      <c r="J56" s="132"/>
      <c r="K56" s="132"/>
      <c r="L56" s="132"/>
      <c r="M56" s="132"/>
      <c r="N56" s="132"/>
      <c r="O56" s="132"/>
      <c r="P56" s="132"/>
      <c r="Q56" s="132"/>
      <c r="R56" s="132"/>
      <c r="S56" s="132"/>
    </row>
    <row r="57" spans="1:19" ht="12.75" customHeight="1" x14ac:dyDescent="0.2">
      <c r="A57" s="132"/>
      <c r="B57" s="196"/>
      <c r="C57" s="132"/>
      <c r="D57" s="166" t="s">
        <v>319</v>
      </c>
      <c r="E57" s="166"/>
      <c r="F57" s="190"/>
      <c r="G57" s="170"/>
      <c r="H57" s="134">
        <f>IF($O$9="",F57,IF($U$9=0,"ERRO",IF($U$9="O ano não está correto para o intervalo","ERRO",IF($O$9=2018,F57,ROUND((F57/$U$9)*3.2939,2)))))</f>
        <v>0</v>
      </c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</row>
    <row r="58" spans="1:19" ht="6.75" customHeight="1" x14ac:dyDescent="0.2">
      <c r="A58" s="132"/>
      <c r="B58" s="197"/>
      <c r="C58" s="132"/>
      <c r="D58" s="166"/>
      <c r="E58" s="166"/>
      <c r="F58" s="198"/>
      <c r="G58" s="170"/>
      <c r="H58" s="134"/>
      <c r="I58" s="132"/>
      <c r="J58" s="132"/>
      <c r="K58" s="132"/>
      <c r="L58" s="132"/>
      <c r="M58" s="132"/>
      <c r="N58" s="132"/>
      <c r="O58" s="132"/>
      <c r="P58" s="132"/>
      <c r="Q58" s="132"/>
      <c r="R58" s="132"/>
      <c r="S58" s="132"/>
    </row>
    <row r="59" spans="1:19" ht="12.75" customHeight="1" x14ac:dyDescent="0.2">
      <c r="A59" s="132"/>
      <c r="B59" s="196"/>
      <c r="C59" s="132"/>
      <c r="D59" s="50" t="s">
        <v>320</v>
      </c>
      <c r="E59" s="166"/>
      <c r="F59" s="190"/>
      <c r="G59" s="170"/>
      <c r="H59" s="134">
        <f>IF($O$9="",F59,IF($U$9=0,"ERRO",IF($U$9="O ano não está correto para o intervalo","ERRO",IF($O$9=2018,F59,ROUND((F59/$U$9)*3.2939,2)))))</f>
        <v>0</v>
      </c>
      <c r="I59" s="132"/>
      <c r="J59" s="132"/>
      <c r="K59" s="132"/>
      <c r="L59" s="132"/>
      <c r="M59" s="132"/>
      <c r="N59" s="132"/>
      <c r="O59" s="132"/>
      <c r="P59" s="132"/>
      <c r="Q59" s="132"/>
      <c r="R59" s="132"/>
      <c r="S59" s="132"/>
    </row>
    <row r="60" spans="1:19" ht="6.75" customHeight="1" x14ac:dyDescent="0.2">
      <c r="A60" s="132"/>
      <c r="B60" s="166"/>
      <c r="C60" s="132"/>
      <c r="D60" s="166"/>
      <c r="E60" s="166"/>
      <c r="F60" s="187"/>
      <c r="G60" s="170"/>
      <c r="H60" s="134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</row>
    <row r="61" spans="1:19" ht="12.75" customHeight="1" x14ac:dyDescent="0.2">
      <c r="A61" s="132"/>
      <c r="B61" s="196"/>
      <c r="C61" s="132"/>
      <c r="D61" s="166" t="s">
        <v>319</v>
      </c>
      <c r="E61" s="166"/>
      <c r="F61" s="190"/>
      <c r="G61" s="170"/>
      <c r="H61" s="134">
        <f>IF($O$9="",F61,IF($U$9=0,"ERRO",IF($U$9="O ano não está correto para o intervalo","ERRO",IF($O$9=2018,F61,ROUND((F61/$U$9)*3.2939,2)))))</f>
        <v>0</v>
      </c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</row>
    <row r="62" spans="1:19" ht="6.75" customHeight="1" x14ac:dyDescent="0.2">
      <c r="A62" s="132"/>
      <c r="B62" s="197"/>
      <c r="C62" s="132"/>
      <c r="D62" s="166"/>
      <c r="E62" s="166"/>
      <c r="F62" s="198"/>
      <c r="G62" s="170"/>
      <c r="H62" s="134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</row>
    <row r="63" spans="1:19" ht="12.75" customHeight="1" x14ac:dyDescent="0.2">
      <c r="A63" s="132"/>
      <c r="B63" s="196"/>
      <c r="C63" s="132"/>
      <c r="D63" s="50" t="s">
        <v>320</v>
      </c>
      <c r="E63" s="166"/>
      <c r="F63" s="190"/>
      <c r="G63" s="170"/>
      <c r="H63" s="134">
        <f>IF($O$9="",F63,IF($U$9=0,"ERRO",IF($U$9="O ano não está correto para o intervalo","ERRO",IF($O$9=2018,F63,ROUND((F63/$U$9)*3.2939,2)))))</f>
        <v>0</v>
      </c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</row>
    <row r="64" spans="1:19" ht="6.75" customHeight="1" x14ac:dyDescent="0.2">
      <c r="A64" s="132"/>
      <c r="B64" s="166"/>
      <c r="C64" s="132"/>
      <c r="D64" s="166"/>
      <c r="E64" s="166"/>
      <c r="F64" s="187"/>
      <c r="G64" s="170"/>
      <c r="H64" s="134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</row>
    <row r="65" spans="1:23" ht="12.75" customHeight="1" x14ac:dyDescent="0.2">
      <c r="A65" s="132"/>
      <c r="B65" s="196"/>
      <c r="C65" s="132"/>
      <c r="D65" s="166" t="s">
        <v>319</v>
      </c>
      <c r="E65" s="166"/>
      <c r="F65" s="190"/>
      <c r="G65" s="170"/>
      <c r="H65" s="134">
        <f>IF($O$9="",F65,IF($U$9=0,"ERRO",IF($U$9="O ano não está correto para o intervalo","ERRO",IF($O$9=2018,F65,ROUND((F65/$U$9)*3.2939,2)))))</f>
        <v>0</v>
      </c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</row>
    <row r="66" spans="1:23" ht="6.75" customHeight="1" x14ac:dyDescent="0.2">
      <c r="A66" s="132"/>
      <c r="B66" s="197"/>
      <c r="C66" s="132"/>
      <c r="D66" s="166"/>
      <c r="E66" s="166"/>
      <c r="F66" s="198"/>
      <c r="G66" s="170"/>
      <c r="H66" s="134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</row>
    <row r="67" spans="1:23" ht="12.75" customHeight="1" x14ac:dyDescent="0.2">
      <c r="A67" s="132"/>
      <c r="B67" s="196"/>
      <c r="C67" s="132"/>
      <c r="D67" s="50" t="s">
        <v>320</v>
      </c>
      <c r="E67" s="166"/>
      <c r="F67" s="190"/>
      <c r="G67" s="170"/>
      <c r="H67" s="134">
        <f>IF($O$9="",F67,IF($U$9=0,"ERRO",IF($U$9="O ano não está correto para o intervalo","ERRO",IF($O$9=2018,F67,ROUND((F67/$U$9)*3.2939,2)))))</f>
        <v>0</v>
      </c>
      <c r="I67" s="132"/>
      <c r="J67" s="132"/>
      <c r="K67" s="132"/>
      <c r="L67" s="132"/>
      <c r="M67" s="132"/>
      <c r="N67" s="132"/>
      <c r="O67" s="132"/>
      <c r="P67" s="132"/>
      <c r="Q67" s="132"/>
      <c r="R67" s="132"/>
      <c r="S67" s="132"/>
    </row>
    <row r="68" spans="1:23" ht="6.75" customHeight="1" x14ac:dyDescent="0.2">
      <c r="A68" s="132"/>
      <c r="B68" s="12"/>
      <c r="C68" s="12"/>
      <c r="D68" s="50"/>
      <c r="E68" s="50"/>
      <c r="F68" s="439"/>
      <c r="G68" s="439"/>
      <c r="H68" s="134"/>
      <c r="I68" s="437"/>
      <c r="J68" s="437"/>
      <c r="K68" s="437"/>
      <c r="L68" s="437"/>
      <c r="M68" s="437"/>
      <c r="N68" s="437"/>
      <c r="O68" s="437"/>
      <c r="P68" s="437"/>
      <c r="Q68" s="437"/>
      <c r="R68" s="437"/>
      <c r="S68" s="132"/>
    </row>
    <row r="69" spans="1:23" x14ac:dyDescent="0.2">
      <c r="A69" s="132"/>
      <c r="B69" s="12" t="s">
        <v>329</v>
      </c>
      <c r="C69" s="12"/>
      <c r="D69" s="50" t="s">
        <v>218</v>
      </c>
      <c r="E69" s="50"/>
      <c r="F69" s="190"/>
      <c r="G69" s="439"/>
      <c r="H69" s="134">
        <f>IF($O$9="",F69,IF($U$9=0,"ERRO",IF($U$9="O ano não está correto para o intervalo","ERRO",IF($O$9=2018,F69,ROUND((F69/$U$9)*3.2939,2)))))</f>
        <v>0</v>
      </c>
      <c r="I69" s="437"/>
      <c r="J69" s="437"/>
      <c r="K69" s="437"/>
      <c r="L69" s="437"/>
      <c r="M69" s="437"/>
      <c r="N69" s="437"/>
      <c r="O69" s="437"/>
      <c r="P69" s="437"/>
      <c r="Q69" s="437"/>
      <c r="R69" s="437"/>
      <c r="S69" s="132"/>
    </row>
    <row r="70" spans="1:23" ht="6.75" customHeight="1" x14ac:dyDescent="0.2">
      <c r="A70" s="132"/>
      <c r="B70" s="12"/>
      <c r="C70" s="12"/>
      <c r="D70" s="50"/>
      <c r="E70" s="50"/>
      <c r="F70" s="439"/>
      <c r="G70" s="439"/>
      <c r="H70" s="134"/>
      <c r="I70" s="437"/>
      <c r="J70" s="437"/>
      <c r="K70" s="437"/>
      <c r="L70" s="437"/>
      <c r="M70" s="437"/>
      <c r="N70" s="437"/>
      <c r="O70" s="437"/>
      <c r="P70" s="437"/>
      <c r="Q70" s="437"/>
      <c r="R70" s="437"/>
      <c r="S70" s="132"/>
    </row>
    <row r="71" spans="1:23" x14ac:dyDescent="0.2">
      <c r="A71" s="132"/>
      <c r="B71" s="12" t="s">
        <v>330</v>
      </c>
      <c r="C71" s="12"/>
      <c r="D71" s="50" t="s">
        <v>224</v>
      </c>
      <c r="E71" s="50"/>
      <c r="F71" s="190"/>
      <c r="G71" s="439"/>
      <c r="H71" s="134">
        <f>IF($O$9="",F71,IF($U$9=0,"ERRO",IF($U$9="O ano não está correto para o intervalo","ERRO",IF($O$9=2018,F71,ROUND((F71/$U$9)*3.2939,2)))))</f>
        <v>0</v>
      </c>
      <c r="I71" s="437"/>
      <c r="J71" s="437"/>
      <c r="K71" s="437"/>
      <c r="L71" s="437"/>
      <c r="M71" s="437"/>
      <c r="N71" s="437"/>
      <c r="O71" s="437"/>
      <c r="P71" s="437"/>
      <c r="Q71" s="437"/>
      <c r="R71" s="437"/>
      <c r="S71" s="132"/>
    </row>
    <row r="72" spans="1:23" ht="6" customHeight="1" x14ac:dyDescent="0.2">
      <c r="A72" s="132"/>
      <c r="B72" s="12"/>
      <c r="C72" s="12"/>
      <c r="D72" s="50"/>
      <c r="E72" s="50"/>
      <c r="F72" s="330"/>
      <c r="G72" s="439"/>
      <c r="H72" s="134"/>
      <c r="I72" s="437"/>
      <c r="J72" s="437"/>
      <c r="K72" s="437"/>
      <c r="L72" s="437"/>
      <c r="M72" s="437"/>
      <c r="N72" s="437"/>
      <c r="O72" s="437"/>
      <c r="P72" s="437"/>
      <c r="Q72" s="437"/>
      <c r="R72" s="437"/>
      <c r="S72" s="132"/>
    </row>
    <row r="73" spans="1:23" ht="12.75" customHeight="1" x14ac:dyDescent="0.2">
      <c r="A73" s="132"/>
      <c r="B73" s="12" t="s">
        <v>331</v>
      </c>
      <c r="C73" s="12"/>
      <c r="D73" s="50" t="s">
        <v>332</v>
      </c>
      <c r="E73" s="50"/>
      <c r="F73" s="190"/>
      <c r="G73" s="439"/>
      <c r="H73" s="134">
        <f>IF($O$9="",F73,IF($U$9=0,"ERRO",IF($U$9="O ano não está correto para o intervalo","ERRO",IF($O$9=2018,F73,ROUND((F73/$U$9)*3.2939,2)))))</f>
        <v>0</v>
      </c>
      <c r="I73" s="132"/>
      <c r="J73" s="132"/>
      <c r="K73" s="132"/>
      <c r="L73" s="132"/>
      <c r="M73" s="132"/>
      <c r="N73" s="132"/>
      <c r="O73" s="132"/>
      <c r="P73" s="132"/>
      <c r="Q73" s="132"/>
      <c r="R73" s="132"/>
      <c r="S73" s="132"/>
    </row>
    <row r="74" spans="1:23" ht="6.75" customHeight="1" x14ac:dyDescent="0.2">
      <c r="A74" s="132"/>
      <c r="B74" s="12"/>
      <c r="C74" s="12"/>
      <c r="D74" s="50"/>
      <c r="E74" s="50"/>
      <c r="F74" s="330"/>
      <c r="G74" s="439"/>
      <c r="H74" s="134"/>
      <c r="I74" s="132"/>
      <c r="J74" s="132"/>
      <c r="K74" s="132"/>
      <c r="L74" s="132"/>
      <c r="M74" s="132"/>
      <c r="N74" s="132"/>
      <c r="O74" s="132"/>
      <c r="P74" s="132"/>
      <c r="Q74" s="132"/>
      <c r="R74" s="132"/>
      <c r="S74" s="132"/>
    </row>
    <row r="75" spans="1:23" ht="12.75" customHeight="1" x14ac:dyDescent="0.2">
      <c r="A75" s="132"/>
      <c r="B75" s="12" t="s">
        <v>333</v>
      </c>
      <c r="C75" s="12"/>
      <c r="D75" s="50" t="s">
        <v>334</v>
      </c>
      <c r="E75" s="50"/>
      <c r="F75" s="190"/>
      <c r="G75" s="439"/>
      <c r="H75" s="134">
        <f>IF($O$9="",F75,IF($U$9=0,"ERRO",IF($U$9="O ano não está correto para o intervalo","ERRO",IF($O$9=2018,F75,ROUND((F75/$U$9)*3.2939,2)))))</f>
        <v>0</v>
      </c>
      <c r="I75" s="132"/>
      <c r="J75" s="132"/>
      <c r="K75" s="132"/>
      <c r="L75" s="132"/>
      <c r="M75" s="132"/>
      <c r="N75" s="132"/>
      <c r="O75" s="132"/>
      <c r="P75" s="132"/>
      <c r="Q75" s="132"/>
      <c r="R75" s="132"/>
      <c r="S75" s="132"/>
    </row>
    <row r="76" spans="1:23" ht="12.75" customHeight="1" x14ac:dyDescent="0.2">
      <c r="A76" s="132"/>
      <c r="B76" s="12"/>
      <c r="C76" s="132"/>
      <c r="D76" s="166"/>
      <c r="E76" s="166"/>
      <c r="F76" s="187"/>
      <c r="G76" s="170"/>
      <c r="H76" s="134"/>
      <c r="I76" s="132"/>
      <c r="J76" s="132"/>
      <c r="K76" s="132"/>
      <c r="L76" s="132"/>
      <c r="M76" s="132"/>
      <c r="N76" s="132"/>
      <c r="O76" s="132"/>
      <c r="P76" s="132"/>
      <c r="Q76" s="132"/>
      <c r="R76" s="132"/>
      <c r="S76" s="132"/>
    </row>
    <row r="77" spans="1:23" x14ac:dyDescent="0.2">
      <c r="A77" s="132"/>
      <c r="B77" s="132"/>
      <c r="C77" s="132"/>
      <c r="D77" s="171" t="s">
        <v>335</v>
      </c>
      <c r="E77" s="171"/>
      <c r="F77" s="187">
        <f>SUM(F20:F75)</f>
        <v>0</v>
      </c>
      <c r="G77" s="170"/>
      <c r="H77" s="134"/>
      <c r="I77" s="132"/>
      <c r="J77" s="132"/>
      <c r="K77" s="132"/>
      <c r="L77" s="132"/>
      <c r="M77" s="132"/>
      <c r="N77" s="132"/>
      <c r="O77" s="132"/>
      <c r="P77" s="132"/>
      <c r="Q77" s="132"/>
      <c r="R77" s="132"/>
      <c r="S77" s="132"/>
      <c r="U77" s="175"/>
      <c r="V77" s="177"/>
      <c r="W77" s="178"/>
    </row>
    <row r="78" spans="1:23" x14ac:dyDescent="0.2">
      <c r="A78" s="132"/>
      <c r="B78" s="132"/>
      <c r="C78" s="132"/>
      <c r="D78" s="171"/>
      <c r="E78" s="171"/>
      <c r="F78" s="187"/>
      <c r="G78" s="170"/>
      <c r="H78" s="134"/>
      <c r="I78" s="132"/>
      <c r="J78" s="132"/>
      <c r="K78" s="132"/>
      <c r="L78" s="132"/>
      <c r="M78" s="132"/>
      <c r="N78" s="132"/>
      <c r="O78" s="132"/>
      <c r="P78" s="132"/>
      <c r="Q78" s="132"/>
      <c r="R78" s="132"/>
      <c r="S78" s="132"/>
      <c r="V78" s="175"/>
    </row>
    <row r="79" spans="1:23" x14ac:dyDescent="0.2">
      <c r="A79" s="132"/>
      <c r="B79" s="132"/>
      <c r="C79" s="132"/>
      <c r="D79" s="171"/>
      <c r="E79" s="171"/>
      <c r="F79" s="171" t="s">
        <v>290</v>
      </c>
      <c r="G79" s="550"/>
      <c r="H79" s="550"/>
      <c r="I79" s="550"/>
      <c r="J79" s="180" t="s">
        <v>291</v>
      </c>
      <c r="K79" s="110"/>
      <c r="L79" s="181" t="s">
        <v>292</v>
      </c>
      <c r="M79" s="182"/>
      <c r="N79" s="181" t="s">
        <v>292</v>
      </c>
      <c r="O79" s="182"/>
      <c r="P79" s="183"/>
      <c r="Q79" s="171" t="s">
        <v>293</v>
      </c>
      <c r="R79" s="184"/>
      <c r="S79" s="132"/>
      <c r="U79" s="99">
        <f>IF(O79=0,0,IF(O79=1999,0.977,IF(O79=2000,1.0641,IF(O79=2001,1.1283,IF(O79=2002,1.213,IF(O79=2003,1.3584,IF(O79=2004,1.4924,IF(O79=2005,1.6049,V79))))))))</f>
        <v>0</v>
      </c>
      <c r="V79" s="5" t="str">
        <f>IF(O79=2006,1.6992,IF(O79=2007,1.7495,IF(O79=2008,1.8258,IF(O79=2009,1.9372,IF(O79=2010,2.0183,IF(O79=2011,2.1352,IF(O79=2012,2.2752,IF(O79=2013,2.4066,W79))))))))</f>
        <v>O ano não está correto para o intervalo</v>
      </c>
      <c r="W79" s="178" t="str">
        <f>IF(O79=2014,2.5473,IF(O79=2015,2.7119,IF(O79=2016,3.0023,IF(O79=2017,3.1999,IF(79=2018,1,"O ano não está correto para o intervalo")))))</f>
        <v>O ano não está correto para o intervalo</v>
      </c>
    </row>
    <row r="80" spans="1:23" ht="6.75" customHeight="1" x14ac:dyDescent="0.2">
      <c r="A80" s="132"/>
      <c r="B80" s="132"/>
      <c r="C80" s="132"/>
      <c r="D80" s="171"/>
      <c r="E80" s="171"/>
      <c r="F80" s="132"/>
      <c r="G80" s="132"/>
      <c r="H80" s="171"/>
      <c r="I80" s="438"/>
      <c r="J80" s="438"/>
      <c r="K80" s="438"/>
      <c r="L80" s="438"/>
      <c r="M80" s="438"/>
      <c r="N80" s="438"/>
      <c r="O80" s="438"/>
      <c r="P80" s="438"/>
      <c r="Q80" s="132"/>
      <c r="R80" s="132"/>
      <c r="S80" s="132"/>
      <c r="V80" s="175" t="s">
        <v>294</v>
      </c>
      <c r="W80" s="175" t="s">
        <v>295</v>
      </c>
    </row>
    <row r="81" spans="1:23" x14ac:dyDescent="0.2">
      <c r="A81" s="132"/>
      <c r="B81" s="132"/>
      <c r="C81" s="132"/>
      <c r="D81" s="171"/>
      <c r="E81" s="171"/>
      <c r="F81" s="551" t="s">
        <v>336</v>
      </c>
      <c r="G81" s="551"/>
      <c r="H81" s="551"/>
      <c r="I81" s="551"/>
      <c r="J81" s="551"/>
      <c r="K81" s="20"/>
      <c r="L81" s="438"/>
      <c r="M81" s="512" t="str">
        <f>IF(T81&gt;1,"Escolher uma opção","")</f>
        <v/>
      </c>
      <c r="N81" s="512"/>
      <c r="O81" s="512"/>
      <c r="P81" s="512"/>
      <c r="Q81" s="512"/>
      <c r="R81" s="512"/>
      <c r="S81" s="132"/>
      <c r="T81" s="138">
        <f>COUNTA(K81,K83,K84)</f>
        <v>0</v>
      </c>
      <c r="U81" s="175">
        <f>H86*0.05</f>
        <v>0</v>
      </c>
      <c r="V81" s="175">
        <f>IF($T$81&gt;1,0,IF(K81="",0,$U$81))</f>
        <v>0</v>
      </c>
      <c r="W81" s="175">
        <f>V81</f>
        <v>0</v>
      </c>
    </row>
    <row r="82" spans="1:23" ht="6.75" customHeight="1" x14ac:dyDescent="0.2">
      <c r="A82" s="132"/>
      <c r="B82" s="132"/>
      <c r="C82" s="132"/>
      <c r="D82" s="171"/>
      <c r="E82" s="171"/>
      <c r="F82" s="187"/>
      <c r="G82" s="187"/>
      <c r="H82" s="187"/>
      <c r="I82" s="187"/>
      <c r="J82" s="187"/>
      <c r="K82" s="7"/>
      <c r="L82" s="438"/>
      <c r="M82" s="437"/>
      <c r="N82" s="437"/>
      <c r="O82" s="437"/>
      <c r="P82" s="437"/>
      <c r="Q82" s="437"/>
      <c r="R82" s="437"/>
      <c r="S82" s="132"/>
      <c r="T82" s="138"/>
      <c r="U82" s="175"/>
      <c r="V82" s="175"/>
      <c r="W82" s="175"/>
    </row>
    <row r="83" spans="1:23" x14ac:dyDescent="0.2">
      <c r="A83" s="132"/>
      <c r="B83" s="132"/>
      <c r="C83" s="132"/>
      <c r="D83" s="171"/>
      <c r="E83" s="171"/>
      <c r="F83" s="551" t="s">
        <v>298</v>
      </c>
      <c r="G83" s="551"/>
      <c r="H83" s="551"/>
      <c r="I83" s="551"/>
      <c r="J83" s="551"/>
      <c r="K83" s="20"/>
      <c r="L83" s="438"/>
      <c r="M83" s="437"/>
      <c r="N83" s="437"/>
      <c r="O83" s="437"/>
      <c r="P83" s="437"/>
      <c r="Q83" s="437"/>
      <c r="R83" s="437"/>
      <c r="S83" s="132"/>
      <c r="T83" s="138"/>
      <c r="U83" s="175"/>
      <c r="V83" s="175"/>
      <c r="W83" s="175">
        <f>IF($T$81&gt;1,0,IF(K83="",0,$U$81))</f>
        <v>0</v>
      </c>
    </row>
    <row r="84" spans="1:23" ht="6.75" customHeight="1" x14ac:dyDescent="0.2">
      <c r="A84" s="132"/>
      <c r="B84" s="132"/>
      <c r="C84" s="132"/>
      <c r="D84" s="171"/>
      <c r="E84" s="171"/>
      <c r="F84" s="551"/>
      <c r="G84" s="551"/>
      <c r="H84" s="551"/>
      <c r="I84" s="551"/>
      <c r="J84" s="551"/>
      <c r="K84" s="7"/>
      <c r="L84" s="438"/>
      <c r="M84" s="438"/>
      <c r="N84" s="438"/>
      <c r="O84" s="438"/>
      <c r="P84" s="438"/>
      <c r="Q84" s="132"/>
      <c r="R84" s="132"/>
      <c r="S84" s="132"/>
      <c r="U84" s="189" t="s">
        <v>303</v>
      </c>
      <c r="V84" s="189">
        <f>SUM(V81:V83)</f>
        <v>0</v>
      </c>
      <c r="W84" s="189">
        <f>SUM(W81:W83)</f>
        <v>0</v>
      </c>
    </row>
    <row r="85" spans="1:23" ht="38.25" x14ac:dyDescent="0.2">
      <c r="A85" s="132"/>
      <c r="B85" s="188" t="s">
        <v>299</v>
      </c>
      <c r="C85" s="188"/>
      <c r="D85" s="188" t="s">
        <v>300</v>
      </c>
      <c r="E85" s="188"/>
      <c r="F85" s="188" t="s">
        <v>301</v>
      </c>
      <c r="G85" s="188"/>
      <c r="H85" s="188" t="s">
        <v>302</v>
      </c>
      <c r="I85" s="132"/>
      <c r="J85" s="132"/>
      <c r="K85" s="132"/>
      <c r="L85" s="132"/>
      <c r="M85" s="132"/>
      <c r="N85" s="132"/>
      <c r="O85" s="132"/>
      <c r="P85" s="132"/>
      <c r="Q85" s="132"/>
      <c r="R85" s="132"/>
      <c r="S85" s="132"/>
      <c r="U85" s="175"/>
      <c r="V85" s="175"/>
      <c r="W85" s="178"/>
    </row>
    <row r="86" spans="1:23" x14ac:dyDescent="0.2">
      <c r="A86" s="132"/>
      <c r="B86" s="12" t="s">
        <v>337</v>
      </c>
      <c r="C86" s="12"/>
      <c r="D86" s="50" t="s">
        <v>338</v>
      </c>
      <c r="E86" s="132"/>
      <c r="F86" s="190"/>
      <c r="G86" s="132"/>
      <c r="H86" s="134">
        <f>IF($O$79="",F86,IF($U$79=0,"ERRO",IF($U$79="O ano não está correto para o intervalo","ERRO",IF($O$79=2018,F86,ROUND((F86/$U$79)*3.2939,2)))))</f>
        <v>0</v>
      </c>
      <c r="I86" s="132"/>
      <c r="J86" s="132"/>
      <c r="K86" s="132"/>
      <c r="L86" s="132"/>
      <c r="M86" s="132"/>
      <c r="N86" s="132"/>
      <c r="O86" s="132"/>
      <c r="P86" s="132"/>
      <c r="Q86" s="132"/>
      <c r="R86" s="132"/>
      <c r="S86" s="132"/>
    </row>
    <row r="87" spans="1:23" ht="6.75" customHeight="1" x14ac:dyDescent="0.2">
      <c r="A87" s="132"/>
      <c r="B87" s="132"/>
      <c r="C87" s="132"/>
      <c r="D87" s="132"/>
      <c r="E87" s="132"/>
      <c r="F87" s="166"/>
      <c r="G87" s="132"/>
      <c r="H87" s="134"/>
      <c r="I87" s="132"/>
      <c r="J87" s="132"/>
      <c r="K87" s="132"/>
      <c r="L87" s="132"/>
      <c r="M87" s="132"/>
      <c r="N87" s="132"/>
      <c r="O87" s="132"/>
      <c r="P87" s="132"/>
      <c r="Q87" s="132"/>
      <c r="R87" s="132"/>
      <c r="S87" s="132"/>
    </row>
    <row r="88" spans="1:23" ht="12.75" customHeight="1" x14ac:dyDescent="0.2">
      <c r="A88" s="132"/>
      <c r="B88" s="166" t="s">
        <v>307</v>
      </c>
      <c r="C88" s="132"/>
      <c r="D88" s="166" t="s">
        <v>339</v>
      </c>
      <c r="E88" s="132"/>
      <c r="F88" s="190"/>
      <c r="G88" s="132"/>
      <c r="H88" s="134">
        <f>IF($O$79="",F88,IF($U$79=0,"ERRO",IF($U$79="O ano não está correto para o intervalo","ERRO",IF($O$79=2018,F88,ROUND((F88/$U$79)*3.2939,2)))))</f>
        <v>0</v>
      </c>
      <c r="I88" s="132"/>
      <c r="J88" s="132"/>
      <c r="K88" s="132"/>
      <c r="L88" s="132"/>
      <c r="M88" s="132"/>
      <c r="N88" s="132"/>
      <c r="O88" s="132"/>
      <c r="P88" s="132"/>
      <c r="Q88" s="132"/>
      <c r="R88" s="132"/>
      <c r="S88" s="132"/>
    </row>
    <row r="89" spans="1:23" ht="6.75" customHeight="1" x14ac:dyDescent="0.2">
      <c r="A89" s="132"/>
      <c r="B89" s="132"/>
      <c r="C89" s="132"/>
      <c r="D89" s="132"/>
      <c r="E89" s="132"/>
      <c r="F89" s="166"/>
      <c r="G89" s="132"/>
      <c r="H89" s="134"/>
      <c r="I89" s="132"/>
      <c r="J89" s="132"/>
      <c r="K89" s="132"/>
      <c r="L89" s="132"/>
      <c r="M89" s="132"/>
      <c r="N89" s="132"/>
      <c r="O89" s="132"/>
      <c r="P89" s="132"/>
      <c r="Q89" s="132"/>
      <c r="R89" s="132"/>
      <c r="S89" s="132"/>
    </row>
    <row r="90" spans="1:23" x14ac:dyDescent="0.2">
      <c r="A90" s="132"/>
      <c r="B90" s="12" t="s">
        <v>317</v>
      </c>
      <c r="C90" s="132"/>
      <c r="D90" s="50" t="s">
        <v>318</v>
      </c>
      <c r="E90" s="132"/>
      <c r="F90" s="190"/>
      <c r="G90" s="132"/>
      <c r="H90" s="134">
        <f>IF($O$79="",F90,IF($U$79=0,"ERRO",IF($U$79="O ano não está correto para o intervalo","ERRO",IF($O$79=2018,F90,ROUND((F90/$U$79)*3.2939,2)))))</f>
        <v>0</v>
      </c>
      <c r="I90" s="132"/>
      <c r="J90" s="132"/>
      <c r="K90" s="132"/>
      <c r="L90" s="132"/>
      <c r="M90" s="132"/>
      <c r="N90" s="132"/>
      <c r="O90" s="132"/>
      <c r="P90" s="132"/>
      <c r="Q90" s="132"/>
      <c r="R90" s="132"/>
      <c r="S90" s="132"/>
    </row>
    <row r="91" spans="1:23" ht="6.75" customHeight="1" x14ac:dyDescent="0.2">
      <c r="A91" s="132"/>
      <c r="B91" s="132"/>
      <c r="C91" s="132"/>
      <c r="D91" s="132"/>
      <c r="E91" s="132"/>
      <c r="F91" s="187"/>
      <c r="G91" s="132"/>
      <c r="H91" s="134"/>
      <c r="I91" s="132"/>
      <c r="J91" s="132"/>
      <c r="K91" s="132"/>
      <c r="L91" s="132"/>
      <c r="M91" s="132"/>
      <c r="N91" s="132"/>
      <c r="O91" s="132"/>
      <c r="P91" s="132"/>
      <c r="Q91" s="132"/>
      <c r="R91" s="132"/>
      <c r="S91" s="132"/>
    </row>
    <row r="92" spans="1:23" x14ac:dyDescent="0.2">
      <c r="A92" s="132"/>
      <c r="B92" s="12" t="s">
        <v>325</v>
      </c>
      <c r="C92" s="132"/>
      <c r="D92" s="50" t="s">
        <v>326</v>
      </c>
      <c r="E92" s="132"/>
      <c r="F92" s="190"/>
      <c r="G92" s="132"/>
      <c r="H92" s="134">
        <f>IF($O$79="",F92,IF($U$79=0,"ERRO",IF($U$79="O ano não está correto para o intervalo","ERRO",IF($O$79=2018,F92,ROUND((F92/$U$79)*3.2939,2)))))</f>
        <v>0</v>
      </c>
      <c r="I92" s="132"/>
      <c r="J92" s="132"/>
      <c r="K92" s="132"/>
      <c r="L92" s="132"/>
      <c r="M92" s="132"/>
      <c r="N92" s="132"/>
      <c r="O92" s="132"/>
      <c r="P92" s="132"/>
      <c r="Q92" s="132"/>
      <c r="R92" s="132"/>
      <c r="S92" s="132"/>
    </row>
    <row r="93" spans="1:23" ht="6.75" customHeight="1" x14ac:dyDescent="0.2">
      <c r="A93" s="132"/>
      <c r="B93" s="12"/>
      <c r="C93" s="50"/>
      <c r="D93" s="132"/>
      <c r="E93" s="132"/>
      <c r="F93" s="187"/>
      <c r="G93" s="132"/>
      <c r="H93" s="134"/>
      <c r="I93" s="132"/>
      <c r="J93" s="132"/>
      <c r="K93" s="132"/>
      <c r="L93" s="132"/>
      <c r="M93" s="132"/>
      <c r="N93" s="132"/>
      <c r="O93" s="132"/>
      <c r="P93" s="132"/>
      <c r="Q93" s="132"/>
      <c r="R93" s="132"/>
      <c r="S93" s="132"/>
    </row>
    <row r="94" spans="1:23" x14ac:dyDescent="0.2">
      <c r="A94" s="132"/>
      <c r="B94" s="12" t="s">
        <v>327</v>
      </c>
      <c r="C94" s="132"/>
      <c r="D94" s="50" t="s">
        <v>328</v>
      </c>
      <c r="E94" s="132"/>
      <c r="F94" s="190"/>
      <c r="G94" s="132"/>
      <c r="H94" s="134">
        <f>IF($O$79="",F94,IF($U$79=0,"ERRO",IF($U$79="O ano não está correto para o intervalo","ERRO",IF($O$79=2018,F94,ROUND((F94/$U$79)*3.2939,2)))))</f>
        <v>0</v>
      </c>
      <c r="I94" s="132"/>
      <c r="J94" s="132"/>
      <c r="K94" s="132"/>
      <c r="L94" s="132"/>
      <c r="M94" s="132"/>
      <c r="N94" s="132"/>
      <c r="O94" s="132"/>
      <c r="P94" s="132"/>
      <c r="Q94" s="132"/>
      <c r="R94" s="132"/>
      <c r="S94" s="132"/>
    </row>
    <row r="95" spans="1:23" x14ac:dyDescent="0.2">
      <c r="A95" s="132"/>
      <c r="B95" s="132"/>
      <c r="C95" s="132"/>
      <c r="D95" s="132"/>
      <c r="E95" s="132"/>
      <c r="F95" s="132"/>
      <c r="G95" s="132"/>
      <c r="H95" s="132"/>
      <c r="I95" s="132"/>
      <c r="J95" s="132"/>
      <c r="K95" s="132"/>
      <c r="L95" s="132"/>
      <c r="M95" s="132"/>
      <c r="N95" s="132"/>
      <c r="O95" s="132"/>
      <c r="P95" s="132"/>
      <c r="Q95" s="132"/>
      <c r="R95" s="132"/>
      <c r="S95" s="132"/>
    </row>
    <row r="96" spans="1:23" x14ac:dyDescent="0.2">
      <c r="A96" s="173"/>
      <c r="B96" s="138"/>
      <c r="C96" s="138"/>
      <c r="D96" s="138"/>
      <c r="T96" s="139"/>
      <c r="U96" s="139"/>
      <c r="V96" s="139"/>
      <c r="W96" s="139"/>
    </row>
    <row r="97" spans="1:23" x14ac:dyDescent="0.2">
      <c r="A97" s="173"/>
      <c r="B97" s="138"/>
      <c r="C97" s="138"/>
      <c r="D97" s="138"/>
      <c r="T97" s="139"/>
      <c r="U97" s="139"/>
      <c r="V97" s="139"/>
      <c r="W97" s="139"/>
    </row>
  </sheetData>
  <mergeCells count="21">
    <mergeCell ref="I40:R40"/>
    <mergeCell ref="I41:R41"/>
    <mergeCell ref="G79:I79"/>
    <mergeCell ref="F81:J81"/>
    <mergeCell ref="M81:R81"/>
    <mergeCell ref="F83:J83"/>
    <mergeCell ref="F84:J84"/>
    <mergeCell ref="I38:R38"/>
    <mergeCell ref="B3:R3"/>
    <mergeCell ref="B4:R4"/>
    <mergeCell ref="G7:I7"/>
    <mergeCell ref="G9:I9"/>
    <mergeCell ref="J11:R11"/>
    <mergeCell ref="F13:J13"/>
    <mergeCell ref="M13:R13"/>
    <mergeCell ref="F15:J15"/>
    <mergeCell ref="F17:J17"/>
    <mergeCell ref="I35:R35"/>
    <mergeCell ref="I36:R36"/>
    <mergeCell ref="I37:R37"/>
    <mergeCell ref="I39:R39"/>
  </mergeCells>
  <conditionalFormatting sqref="H20:H78 H86:H94">
    <cfRule type="cellIs" dxfId="37" priority="1" stopIfTrue="1" operator="equal">
      <formula>"ERRO"</formula>
    </cfRule>
    <cfRule type="cellIs" dxfId="36" priority="2" stopIfTrue="1" operator="equal">
      <formula>0</formula>
    </cfRule>
  </conditionalFormatting>
  <conditionalFormatting sqref="W79 W85 J19 W9:W11">
    <cfRule type="cellIs" dxfId="35" priority="3" stopIfTrue="1" operator="equal">
      <formula>0</formula>
    </cfRule>
    <cfRule type="cellIs" dxfId="34" priority="4" stopIfTrue="1" operator="equal">
      <formula>"O ano não está correto para o intervalo"</formula>
    </cfRule>
  </conditionalFormatting>
  <conditionalFormatting sqref="F77:G78">
    <cfRule type="cellIs" dxfId="33" priority="5" stopIfTrue="1" operator="equal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77" firstPageNumber="0" orientation="landscape" horizontalDpi="300" verticalDpi="300" r:id="rId1"/>
  <headerFooter alignWithMargins="0">
    <oddHeader xml:space="preserve">&amp;L&amp;G&amp;CTRIBUNAL DE JUSTIÇA DO ESTADO DO RIO DE JANEIRO 
CENTRAL DE ARQUIVAMENTO NUR1
</oddHeader>
    <oddFooter>&amp;LFRM-CARQ-002-01&amp;CREV.: 00                Data: 20/04/2018&amp;R&amp;P</oddFooter>
  </headerFooter>
  <rowBreaks count="1" manualBreakCount="1">
    <brk id="51" max="18" man="1"/>
  </rowBreak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0"/>
  <sheetViews>
    <sheetView showGridLines="0" view="pageBreakPreview" topLeftCell="C1" zoomScale="115" zoomScaleNormal="100" zoomScaleSheetLayoutView="115" workbookViewId="0">
      <selection activeCell="F95" sqref="F95"/>
    </sheetView>
  </sheetViews>
  <sheetFormatPr defaultRowHeight="12.75" x14ac:dyDescent="0.2"/>
  <cols>
    <col min="1" max="1" width="3.85546875" style="139" customWidth="1"/>
    <col min="2" max="2" width="14.140625" style="139" customWidth="1"/>
    <col min="3" max="3" width="33" style="139" customWidth="1"/>
    <col min="4" max="4" width="13.42578125" style="139" customWidth="1"/>
    <col min="5" max="5" width="1.42578125" style="139" customWidth="1"/>
    <col min="6" max="6" width="13.42578125" style="139" customWidth="1"/>
    <col min="7" max="7" width="9.140625" style="139"/>
    <col min="8" max="8" width="2.5703125" style="139" customWidth="1"/>
    <col min="9" max="9" width="9.140625" style="139"/>
    <col min="10" max="10" width="2.42578125" style="139" customWidth="1"/>
    <col min="11" max="11" width="14.7109375" style="139" customWidth="1"/>
    <col min="12" max="12" width="14.5703125" style="139" customWidth="1"/>
    <col min="13" max="13" width="16.140625" style="139" customWidth="1"/>
    <col min="14" max="14" width="2.7109375" style="139" customWidth="1"/>
    <col min="15" max="15" width="3.85546875" style="139" customWidth="1"/>
    <col min="16" max="20" width="9.140625" style="139" hidden="1" customWidth="1"/>
    <col min="21" max="23" width="9.140625" style="139" customWidth="1"/>
    <col min="24" max="16384" width="9.140625" style="139"/>
  </cols>
  <sheetData>
    <row r="1" spans="1:18" x14ac:dyDescent="0.2">
      <c r="A1" s="132"/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</row>
    <row r="2" spans="1:18" ht="3" customHeight="1" x14ac:dyDescent="0.2">
      <c r="A2" s="132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32"/>
      <c r="O2" s="132"/>
    </row>
    <row r="3" spans="1:18" ht="22.5" x14ac:dyDescent="0.45">
      <c r="A3" s="132"/>
      <c r="B3" s="535" t="s">
        <v>340</v>
      </c>
      <c r="C3" s="535"/>
      <c r="D3" s="535"/>
      <c r="E3" s="535"/>
      <c r="F3" s="535"/>
      <c r="G3" s="535"/>
      <c r="H3" s="535"/>
      <c r="I3" s="535"/>
      <c r="J3" s="535"/>
      <c r="K3" s="535"/>
      <c r="L3" s="535"/>
      <c r="M3" s="535"/>
      <c r="N3" s="132"/>
      <c r="O3" s="132"/>
    </row>
    <row r="4" spans="1:18" ht="15" x14ac:dyDescent="0.2">
      <c r="A4" s="132"/>
      <c r="B4" s="553"/>
      <c r="C4" s="553"/>
      <c r="D4" s="553"/>
      <c r="E4" s="553"/>
      <c r="F4" s="553"/>
      <c r="G4" s="553"/>
      <c r="H4" s="553"/>
      <c r="I4" s="553"/>
      <c r="J4" s="553"/>
      <c r="K4" s="553"/>
      <c r="L4" s="553"/>
      <c r="M4" s="553"/>
      <c r="N4" s="132"/>
      <c r="O4" s="132"/>
    </row>
    <row r="5" spans="1:18" ht="3" customHeight="1" x14ac:dyDescent="0.2">
      <c r="A5" s="132"/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32"/>
      <c r="O5" s="132"/>
    </row>
    <row r="6" spans="1:18" ht="6.75" customHeight="1" x14ac:dyDescent="0.2">
      <c r="A6" s="132"/>
      <c r="B6" s="199"/>
      <c r="C6" s="199"/>
      <c r="D6" s="200"/>
      <c r="E6" s="200"/>
      <c r="F6" s="199"/>
      <c r="G6" s="199"/>
      <c r="H6" s="199"/>
      <c r="I6" s="199"/>
      <c r="J6" s="199"/>
      <c r="K6" s="199"/>
      <c r="L6" s="199"/>
      <c r="M6" s="199"/>
      <c r="N6" s="132"/>
      <c r="O6" s="132"/>
    </row>
    <row r="7" spans="1:18" ht="12.75" customHeight="1" x14ac:dyDescent="0.2">
      <c r="A7" s="132"/>
      <c r="B7" s="201"/>
      <c r="C7" s="201"/>
      <c r="D7" s="158" t="s">
        <v>341</v>
      </c>
      <c r="E7" s="132"/>
      <c r="F7" s="201"/>
      <c r="G7" s="201"/>
      <c r="H7" s="201"/>
      <c r="I7" s="201"/>
      <c r="J7" s="201"/>
      <c r="K7" s="201"/>
      <c r="L7" s="201"/>
      <c r="M7" s="201"/>
      <c r="N7" s="132"/>
      <c r="O7" s="132"/>
    </row>
    <row r="8" spans="1:18" ht="6.75" customHeight="1" x14ac:dyDescent="0.2">
      <c r="A8" s="132"/>
      <c r="B8" s="199"/>
      <c r="C8" s="199"/>
      <c r="D8" s="200"/>
      <c r="E8" s="200"/>
      <c r="F8" s="199"/>
      <c r="G8" s="199"/>
      <c r="H8" s="199"/>
      <c r="I8" s="199"/>
      <c r="J8" s="199"/>
      <c r="K8" s="199"/>
      <c r="L8" s="199"/>
      <c r="M8" s="199"/>
      <c r="N8" s="132"/>
      <c r="O8" s="132"/>
    </row>
    <row r="9" spans="1:18" x14ac:dyDescent="0.2">
      <c r="A9" s="551" t="s">
        <v>342</v>
      </c>
      <c r="B9" s="551"/>
      <c r="C9" s="202"/>
      <c r="D9" s="554" t="s">
        <v>343</v>
      </c>
      <c r="E9" s="554"/>
      <c r="F9" s="554"/>
      <c r="G9" s="203"/>
      <c r="H9" s="417" t="s">
        <v>344</v>
      </c>
      <c r="I9" s="552" t="str">
        <f>IF(C9="","Falta preencher o nome da parte",IF(G9="","Preencher caso o percentual entre as partes seja diferente",""))</f>
        <v>Falta preencher o nome da parte</v>
      </c>
      <c r="J9" s="552"/>
      <c r="K9" s="552"/>
      <c r="L9" s="552"/>
      <c r="M9" s="552"/>
      <c r="N9" s="204"/>
      <c r="O9" s="204"/>
      <c r="P9" s="139">
        <f>COUNTA(C9:C19)</f>
        <v>0</v>
      </c>
    </row>
    <row r="10" spans="1:18" ht="6.75" customHeight="1" x14ac:dyDescent="0.2">
      <c r="A10" s="132"/>
      <c r="B10" s="199"/>
      <c r="C10" s="199"/>
      <c r="D10" s="199"/>
      <c r="E10" s="199"/>
      <c r="F10" s="171"/>
      <c r="G10" s="417"/>
      <c r="H10" s="417"/>
      <c r="I10" s="552"/>
      <c r="J10" s="552"/>
      <c r="K10" s="552"/>
      <c r="L10" s="552"/>
      <c r="M10" s="552"/>
      <c r="N10" s="132"/>
      <c r="O10" s="132"/>
    </row>
    <row r="11" spans="1:18" x14ac:dyDescent="0.2">
      <c r="A11" s="551" t="s">
        <v>342</v>
      </c>
      <c r="B11" s="551"/>
      <c r="C11" s="205"/>
      <c r="D11" s="554" t="s">
        <v>343</v>
      </c>
      <c r="E11" s="554"/>
      <c r="F11" s="554"/>
      <c r="G11" s="71"/>
      <c r="H11" s="417" t="s">
        <v>344</v>
      </c>
      <c r="I11" s="552" t="str">
        <f>IF(C11="","Falta preencher o nome da parte",IF(G11="","Preencher caso o percentual entre as partes seja diferente",""))</f>
        <v>Falta preencher o nome da parte</v>
      </c>
      <c r="J11" s="552"/>
      <c r="K11" s="552"/>
      <c r="L11" s="552"/>
      <c r="M11" s="552"/>
      <c r="N11" s="132"/>
      <c r="O11" s="132"/>
      <c r="P11" s="139">
        <f t="shared" ref="P11:P19" si="0">COUNTA(C11)</f>
        <v>0</v>
      </c>
      <c r="Q11" s="139">
        <f t="shared" ref="Q11:Q19" si="1">COUNTA(G11)</f>
        <v>0</v>
      </c>
      <c r="R11" s="139">
        <f t="shared" ref="R11:R19" si="2">P11+Q11</f>
        <v>0</v>
      </c>
    </row>
    <row r="12" spans="1:18" ht="6.75" customHeight="1" x14ac:dyDescent="0.2">
      <c r="A12" s="132"/>
      <c r="B12" s="199"/>
      <c r="C12" s="199"/>
      <c r="D12" s="199"/>
      <c r="E12" s="199"/>
      <c r="F12" s="171"/>
      <c r="G12" s="417"/>
      <c r="H12" s="417"/>
      <c r="I12" s="552"/>
      <c r="J12" s="552"/>
      <c r="K12" s="552"/>
      <c r="L12" s="552"/>
      <c r="M12" s="552"/>
      <c r="N12" s="132"/>
      <c r="O12" s="132"/>
    </row>
    <row r="13" spans="1:18" x14ac:dyDescent="0.2">
      <c r="A13" s="551" t="s">
        <v>342</v>
      </c>
      <c r="B13" s="551"/>
      <c r="C13" s="202"/>
      <c r="D13" s="554" t="s">
        <v>343</v>
      </c>
      <c r="E13" s="554"/>
      <c r="F13" s="554"/>
      <c r="G13" s="71"/>
      <c r="H13" s="417" t="s">
        <v>344</v>
      </c>
      <c r="I13" s="552" t="str">
        <f>IF(C13="","Falta preencher o nome da parte",IF(G13="","Preencher caso o percentual entre as partes seja diferente",""))</f>
        <v>Falta preencher o nome da parte</v>
      </c>
      <c r="J13" s="552"/>
      <c r="K13" s="552"/>
      <c r="L13" s="552"/>
      <c r="M13" s="552"/>
      <c r="N13" s="132"/>
      <c r="O13" s="132"/>
      <c r="P13" s="139">
        <f t="shared" si="0"/>
        <v>0</v>
      </c>
      <c r="Q13" s="139">
        <f t="shared" si="1"/>
        <v>0</v>
      </c>
      <c r="R13" s="139">
        <f t="shared" si="2"/>
        <v>0</v>
      </c>
    </row>
    <row r="14" spans="1:18" ht="6.75" customHeight="1" x14ac:dyDescent="0.2">
      <c r="A14" s="132"/>
      <c r="B14" s="199"/>
      <c r="C14" s="199"/>
      <c r="D14" s="199"/>
      <c r="E14" s="199"/>
      <c r="F14" s="171"/>
      <c r="G14" s="417"/>
      <c r="H14" s="417"/>
      <c r="I14" s="552"/>
      <c r="J14" s="552"/>
      <c r="K14" s="552"/>
      <c r="L14" s="552"/>
      <c r="M14" s="552"/>
      <c r="N14" s="132"/>
      <c r="O14" s="132"/>
    </row>
    <row r="15" spans="1:18" x14ac:dyDescent="0.2">
      <c r="A15" s="551" t="s">
        <v>342</v>
      </c>
      <c r="B15" s="551"/>
      <c r="C15" s="202"/>
      <c r="D15" s="554" t="s">
        <v>343</v>
      </c>
      <c r="E15" s="554"/>
      <c r="F15" s="554"/>
      <c r="G15" s="71"/>
      <c r="H15" s="417" t="s">
        <v>344</v>
      </c>
      <c r="I15" s="552" t="str">
        <f>IF(C15="","Falta preencher o nome da parte",IF(G15="","Preencher caso o percentual entre as partes seja diferente",""))</f>
        <v>Falta preencher o nome da parte</v>
      </c>
      <c r="J15" s="552"/>
      <c r="K15" s="552"/>
      <c r="L15" s="552"/>
      <c r="M15" s="552"/>
      <c r="N15" s="132"/>
      <c r="O15" s="132"/>
      <c r="P15" s="139">
        <f t="shared" si="0"/>
        <v>0</v>
      </c>
      <c r="Q15" s="139">
        <f t="shared" si="1"/>
        <v>0</v>
      </c>
      <c r="R15" s="139">
        <f t="shared" si="2"/>
        <v>0</v>
      </c>
    </row>
    <row r="16" spans="1:18" ht="6.75" customHeight="1" x14ac:dyDescent="0.2">
      <c r="A16" s="132"/>
      <c r="B16" s="199"/>
      <c r="C16" s="199"/>
      <c r="D16" s="199"/>
      <c r="E16" s="199"/>
      <c r="F16" s="171"/>
      <c r="G16" s="417"/>
      <c r="H16" s="417"/>
      <c r="I16" s="552"/>
      <c r="J16" s="552"/>
      <c r="K16" s="552"/>
      <c r="L16" s="552"/>
      <c r="M16" s="552"/>
      <c r="N16" s="132"/>
      <c r="O16" s="132"/>
    </row>
    <row r="17" spans="1:18" x14ac:dyDescent="0.2">
      <c r="A17" s="551" t="s">
        <v>342</v>
      </c>
      <c r="B17" s="551"/>
      <c r="C17" s="202"/>
      <c r="D17" s="554" t="s">
        <v>343</v>
      </c>
      <c r="E17" s="554"/>
      <c r="F17" s="554"/>
      <c r="G17" s="71"/>
      <c r="H17" s="417" t="s">
        <v>344</v>
      </c>
      <c r="I17" s="552" t="str">
        <f>IF(C17="","Falta preencher o nome da parte",IF(G17="","Preencher caso o percentual entre as partes seja diferente",""))</f>
        <v>Falta preencher o nome da parte</v>
      </c>
      <c r="J17" s="552"/>
      <c r="K17" s="552"/>
      <c r="L17" s="552"/>
      <c r="M17" s="552"/>
      <c r="N17" s="132"/>
      <c r="O17" s="132"/>
      <c r="P17" s="139">
        <f t="shared" si="0"/>
        <v>0</v>
      </c>
      <c r="Q17" s="139">
        <f t="shared" si="1"/>
        <v>0</v>
      </c>
      <c r="R17" s="139">
        <f t="shared" si="2"/>
        <v>0</v>
      </c>
    </row>
    <row r="18" spans="1:18" ht="6.75" customHeight="1" x14ac:dyDescent="0.2">
      <c r="A18" s="132"/>
      <c r="B18" s="199"/>
      <c r="C18" s="199"/>
      <c r="D18" s="199"/>
      <c r="E18" s="199"/>
      <c r="F18" s="171"/>
      <c r="G18" s="417"/>
      <c r="H18" s="417"/>
      <c r="I18" s="552"/>
      <c r="J18" s="552"/>
      <c r="K18" s="552"/>
      <c r="L18" s="552"/>
      <c r="M18" s="552"/>
      <c r="N18" s="132"/>
      <c r="O18" s="132"/>
    </row>
    <row r="19" spans="1:18" x14ac:dyDescent="0.2">
      <c r="A19" s="551" t="s">
        <v>342</v>
      </c>
      <c r="B19" s="551"/>
      <c r="C19" s="202"/>
      <c r="D19" s="554" t="s">
        <v>343</v>
      </c>
      <c r="E19" s="554"/>
      <c r="F19" s="554"/>
      <c r="G19" s="71"/>
      <c r="H19" s="417" t="s">
        <v>344</v>
      </c>
      <c r="I19" s="552" t="str">
        <f>IF(C19="","Falta preencher o nome da parte",IF(G19="","Preencher caso o percentual entre as partes seja diferente",""))</f>
        <v>Falta preencher o nome da parte</v>
      </c>
      <c r="J19" s="552"/>
      <c r="K19" s="552"/>
      <c r="L19" s="552"/>
      <c r="M19" s="552"/>
      <c r="N19" s="132"/>
      <c r="O19" s="132"/>
      <c r="P19" s="139">
        <f t="shared" si="0"/>
        <v>0</v>
      </c>
      <c r="Q19" s="139">
        <f t="shared" si="1"/>
        <v>0</v>
      </c>
      <c r="R19" s="139">
        <f t="shared" si="2"/>
        <v>0</v>
      </c>
    </row>
    <row r="20" spans="1:18" x14ac:dyDescent="0.2">
      <c r="A20" s="187"/>
      <c r="B20" s="187"/>
      <c r="C20" s="206"/>
      <c r="D20" s="207"/>
      <c r="E20" s="207"/>
      <c r="F20" s="207"/>
      <c r="G20" s="512" t="str">
        <f>IF(AND(G9="",G11="",G13="",G15="",G17="",G19=""),"",IF(SUM(G9:G19)&lt;100,"Soma dos percentuais  menor do que 100",IF(SUM(G9:G19)&gt;100,"Soma dos percentuais  maior do que 100","")))</f>
        <v/>
      </c>
      <c r="H20" s="512"/>
      <c r="I20" s="512"/>
      <c r="J20" s="512"/>
      <c r="K20" s="512"/>
      <c r="L20" s="199"/>
      <c r="M20" s="199"/>
      <c r="N20" s="132"/>
      <c r="O20" s="132"/>
    </row>
    <row r="21" spans="1:18" x14ac:dyDescent="0.2">
      <c r="A21" s="187"/>
      <c r="B21" s="187"/>
      <c r="C21" s="206"/>
      <c r="D21" s="207"/>
      <c r="E21" s="207"/>
      <c r="F21" s="207"/>
      <c r="G21" s="65"/>
      <c r="H21" s="417"/>
      <c r="I21" s="417"/>
      <c r="J21" s="417"/>
      <c r="K21" s="199"/>
      <c r="L21" s="199"/>
      <c r="M21" s="199"/>
      <c r="N21" s="132"/>
      <c r="O21" s="132"/>
    </row>
    <row r="22" spans="1:18" x14ac:dyDescent="0.2">
      <c r="A22" s="132"/>
      <c r="B22" s="132"/>
      <c r="C22" s="132"/>
      <c r="D22" s="207"/>
      <c r="E22" s="132"/>
      <c r="F22" s="171"/>
      <c r="G22" s="159"/>
      <c r="H22" s="159"/>
      <c r="I22" s="159"/>
      <c r="J22" s="159"/>
      <c r="K22" s="132"/>
      <c r="L22" s="132"/>
      <c r="M22" s="132"/>
      <c r="N22" s="199"/>
      <c r="O22" s="199"/>
    </row>
    <row r="23" spans="1:18" ht="38.25" x14ac:dyDescent="0.2">
      <c r="A23" s="132"/>
      <c r="B23" s="188" t="s">
        <v>299</v>
      </c>
      <c r="C23" s="188" t="s">
        <v>300</v>
      </c>
      <c r="D23" s="188" t="s">
        <v>345</v>
      </c>
      <c r="E23" s="188"/>
      <c r="F23" s="188" t="s">
        <v>346</v>
      </c>
      <c r="G23" s="132"/>
      <c r="H23" s="556"/>
      <c r="I23" s="556"/>
      <c r="J23" s="556"/>
      <c r="K23" s="556"/>
      <c r="L23" s="556"/>
      <c r="M23" s="556"/>
      <c r="N23" s="556"/>
      <c r="O23" s="199"/>
    </row>
    <row r="24" spans="1:18" x14ac:dyDescent="0.2">
      <c r="A24" s="132"/>
      <c r="B24" s="12" t="s">
        <v>304</v>
      </c>
      <c r="C24" s="50" t="s">
        <v>305</v>
      </c>
      <c r="D24" s="134">
        <f>IF(H24="",GRERJ1!H20+GRERJ2!H20+GRERJ3!H20+GRERJ4!H20+GRERJ5!H20+GRERJ1!H22+GRERJ2!H22+GRERJ3!H22+GRERJ4!H22+GRERJ5!H22,F24)</f>
        <v>0</v>
      </c>
      <c r="E24" s="418"/>
      <c r="F24" s="44">
        <f ca="1">'Atos Serv. Jud. Lei. 6369'!F186</f>
        <v>0</v>
      </c>
      <c r="G24" s="132"/>
      <c r="H24" s="167"/>
      <c r="I24" s="552" t="s">
        <v>347</v>
      </c>
      <c r="J24" s="552"/>
      <c r="K24" s="552"/>
      <c r="L24" s="552"/>
      <c r="M24" s="552"/>
      <c r="N24" s="552"/>
      <c r="O24" s="199"/>
    </row>
    <row r="25" spans="1:18" ht="6.75" customHeight="1" x14ac:dyDescent="0.2">
      <c r="A25" s="132"/>
      <c r="B25" s="12"/>
      <c r="C25" s="50"/>
      <c r="D25" s="134"/>
      <c r="E25" s="418"/>
      <c r="F25" s="44"/>
      <c r="G25" s="132"/>
      <c r="H25" s="170"/>
      <c r="I25" s="132"/>
      <c r="J25" s="132"/>
      <c r="K25" s="132"/>
      <c r="L25" s="132"/>
      <c r="M25" s="132"/>
      <c r="N25" s="199"/>
      <c r="O25" s="199"/>
    </row>
    <row r="26" spans="1:18" x14ac:dyDescent="0.2">
      <c r="A26" s="132"/>
      <c r="B26" s="12" t="s">
        <v>307</v>
      </c>
      <c r="C26" s="50" t="s">
        <v>308</v>
      </c>
      <c r="D26" s="134">
        <f>IF(H26="",GRERJ1!H24+GRERJ2!H24+GRERJ3!H24+GRERJ4!H24+GRERJ5!H24,F26)</f>
        <v>0</v>
      </c>
      <c r="E26" s="457"/>
      <c r="F26" s="44">
        <f ca="1">IF('Atos Serv. Jud. Lei. 6369'!Q4=0,"Bloqueado",'Atos Serv. Jud. Lei. 6369'!F192+'Atos Serv. Jud. Lei. 6369'!F194)</f>
        <v>0</v>
      </c>
      <c r="G26" s="132"/>
      <c r="H26" s="167"/>
      <c r="I26" s="552" t="s">
        <v>347</v>
      </c>
      <c r="J26" s="552"/>
      <c r="K26" s="552"/>
      <c r="L26" s="552"/>
      <c r="M26" s="552"/>
      <c r="N26" s="552"/>
      <c r="O26" s="199"/>
    </row>
    <row r="27" spans="1:18" ht="6.75" customHeight="1" x14ac:dyDescent="0.2">
      <c r="A27" s="132"/>
      <c r="B27" s="12"/>
      <c r="C27" s="50"/>
      <c r="D27" s="134"/>
      <c r="E27" s="418"/>
      <c r="F27" s="44"/>
      <c r="G27" s="132"/>
      <c r="H27" s="170"/>
      <c r="I27" s="486"/>
      <c r="J27" s="486"/>
      <c r="K27" s="486"/>
      <c r="L27" s="486"/>
      <c r="M27" s="486"/>
      <c r="N27" s="486"/>
      <c r="O27" s="199"/>
    </row>
    <row r="28" spans="1:18" ht="12.75" customHeight="1" x14ac:dyDescent="0.2">
      <c r="A28" s="132"/>
      <c r="B28" s="12" t="s">
        <v>309</v>
      </c>
      <c r="C28" s="50" t="s">
        <v>310</v>
      </c>
      <c r="D28" s="134">
        <f>IF(H28="",GRERJ1!H26+GRERJ2!H26+GRERJ3!H26+GRERJ4!H26+GRERJ5!H26,F28)</f>
        <v>0</v>
      </c>
      <c r="E28" s="418"/>
      <c r="F28" s="44">
        <f ca="1">IF('Atos Serv. Jud. Lei. 6369'!Q4=0,"Bloqueado",'Atos Serv. Jud. Lei. 6369'!F189)</f>
        <v>0</v>
      </c>
      <c r="G28" s="132"/>
      <c r="H28" s="167"/>
      <c r="I28" s="552" t="s">
        <v>347</v>
      </c>
      <c r="J28" s="552"/>
      <c r="K28" s="552"/>
      <c r="L28" s="552"/>
      <c r="M28" s="552"/>
      <c r="N28" s="552"/>
      <c r="O28" s="199"/>
    </row>
    <row r="29" spans="1:18" ht="6.75" customHeight="1" x14ac:dyDescent="0.2">
      <c r="A29" s="132"/>
      <c r="B29" s="12"/>
      <c r="C29" s="50"/>
      <c r="D29" s="134"/>
      <c r="E29" s="418"/>
      <c r="F29" s="44"/>
      <c r="G29" s="132"/>
      <c r="H29" s="170"/>
      <c r="I29" s="486"/>
      <c r="J29" s="486"/>
      <c r="K29" s="486"/>
      <c r="L29" s="486"/>
      <c r="M29" s="486"/>
      <c r="N29" s="486"/>
      <c r="O29" s="199"/>
    </row>
    <row r="30" spans="1:18" x14ac:dyDescent="0.2">
      <c r="A30" s="132"/>
      <c r="B30" s="12" t="s">
        <v>311</v>
      </c>
      <c r="C30" s="50" t="s">
        <v>312</v>
      </c>
      <c r="D30" s="134">
        <f>IF(H30="",GRERJ1!H28+GRERJ2!H28+GRERJ3!H28+GRERJ4!H28+GRERJ5!H28,F30)</f>
        <v>0</v>
      </c>
      <c r="E30" s="418"/>
      <c r="F30" s="44">
        <f ca="1">IF('Atos Serv. Jud. Lei. 6369'!Q4=0,"Bloqueado",'Atos Serv. Jud. Lei. 6369'!F205)</f>
        <v>0</v>
      </c>
      <c r="G30" s="132"/>
      <c r="H30" s="167"/>
      <c r="I30" s="552" t="s">
        <v>347</v>
      </c>
      <c r="J30" s="552"/>
      <c r="K30" s="552"/>
      <c r="L30" s="552"/>
      <c r="M30" s="552"/>
      <c r="N30" s="552"/>
      <c r="O30" s="199"/>
    </row>
    <row r="31" spans="1:18" ht="1.5" customHeight="1" x14ac:dyDescent="0.2">
      <c r="A31" s="132"/>
      <c r="B31" s="12"/>
      <c r="C31" s="50"/>
      <c r="D31" s="134"/>
      <c r="E31" s="418"/>
      <c r="F31" s="44"/>
      <c r="G31" s="132"/>
      <c r="H31" s="344"/>
      <c r="I31" s="486"/>
      <c r="J31" s="486"/>
      <c r="K31" s="486"/>
      <c r="L31" s="486"/>
      <c r="M31" s="486"/>
      <c r="N31" s="486"/>
      <c r="O31" s="199"/>
    </row>
    <row r="32" spans="1:18" ht="7.5" customHeight="1" x14ac:dyDescent="0.2">
      <c r="A32" s="132"/>
      <c r="B32" s="12"/>
      <c r="C32" s="50"/>
      <c r="D32" s="134"/>
      <c r="E32" s="418"/>
      <c r="F32" s="44"/>
      <c r="G32" s="132"/>
      <c r="H32" s="170"/>
      <c r="I32" s="486"/>
      <c r="J32" s="486"/>
      <c r="K32" s="486"/>
      <c r="L32" s="486"/>
      <c r="M32" s="486"/>
      <c r="N32" s="486"/>
      <c r="O32" s="199"/>
    </row>
    <row r="33" spans="1:17" x14ac:dyDescent="0.2">
      <c r="A33" s="132"/>
      <c r="B33" s="12" t="s">
        <v>313</v>
      </c>
      <c r="C33" s="50" t="s">
        <v>314</v>
      </c>
      <c r="D33" s="134">
        <f>IF(H33="",GRERJ1!H30+GRERJ2!H30+GRERJ3!H30+GRERJ4!H30+GRERJ5!H30,F33)</f>
        <v>0</v>
      </c>
      <c r="E33" s="418"/>
      <c r="F33" s="44">
        <f ca="1">IF('Atos Serv. Jud. Lei. 6369'!Q4=0,"Bloqueado",'Atos Serv. Jud. Lei. 6369'!F258+'Atos Serv. Jud. Lei. 6369'!F260)</f>
        <v>0</v>
      </c>
      <c r="G33" s="132"/>
      <c r="H33" s="167"/>
      <c r="I33" s="552" t="s">
        <v>347</v>
      </c>
      <c r="J33" s="552"/>
      <c r="K33" s="552"/>
      <c r="L33" s="552"/>
      <c r="M33" s="552"/>
      <c r="N33" s="552"/>
      <c r="O33" s="199"/>
    </row>
    <row r="34" spans="1:17" ht="10.5" customHeight="1" x14ac:dyDescent="0.2">
      <c r="A34" s="132"/>
      <c r="B34" s="12"/>
      <c r="C34" s="50"/>
      <c r="D34" s="134"/>
      <c r="E34" s="418"/>
      <c r="F34" s="44"/>
      <c r="G34" s="132"/>
      <c r="H34" s="170"/>
      <c r="I34" s="486"/>
      <c r="J34" s="486"/>
      <c r="K34" s="486"/>
      <c r="L34" s="486"/>
      <c r="M34" s="486"/>
      <c r="N34" s="486"/>
      <c r="O34" s="199"/>
    </row>
    <row r="35" spans="1:17" ht="12.75" customHeight="1" x14ac:dyDescent="0.2">
      <c r="A35" s="132"/>
      <c r="B35" s="12" t="s">
        <v>315</v>
      </c>
      <c r="C35" s="50" t="s">
        <v>316</v>
      </c>
      <c r="D35" s="134">
        <f>IF(H35="",GRERJ1!H32+GRERJ2!H32+GRERJ3!H32+GRERJ4!H32+GRERJ5!H32,F35)</f>
        <v>0</v>
      </c>
      <c r="E35" s="418"/>
      <c r="F35" s="44">
        <f ca="1">IF('Atos Serv. Jud. Lei. 6369'!Q4=0,"Bloqueado",'Atos Serv. Jud. Lei. 6369'!F275+'Atos Serv. Jud. Lei. 6369'!F293+'Atos Serv. Jud. Lei. 6369'!F299+'Atos Serv. Jud. Lei. 6369'!F306)</f>
        <v>0</v>
      </c>
      <c r="G35" s="132"/>
      <c r="H35" s="167"/>
      <c r="I35" s="552" t="s">
        <v>347</v>
      </c>
      <c r="J35" s="552"/>
      <c r="K35" s="552"/>
      <c r="L35" s="552"/>
      <c r="M35" s="552"/>
      <c r="N35" s="552"/>
      <c r="O35" s="199"/>
    </row>
    <row r="36" spans="1:17" ht="7.5" customHeight="1" x14ac:dyDescent="0.2">
      <c r="A36" s="132"/>
      <c r="B36" s="12"/>
      <c r="C36" s="50"/>
      <c r="D36" s="134"/>
      <c r="E36" s="418"/>
      <c r="F36" s="44"/>
      <c r="G36" s="132"/>
      <c r="H36" s="344"/>
      <c r="I36" s="486"/>
      <c r="J36" s="486"/>
      <c r="K36" s="486"/>
      <c r="L36" s="486"/>
      <c r="M36" s="486"/>
      <c r="N36" s="486"/>
      <c r="O36" s="199"/>
    </row>
    <row r="37" spans="1:17" ht="12.75" customHeight="1" x14ac:dyDescent="0.2">
      <c r="A37" s="132"/>
      <c r="B37" s="12" t="str">
        <f>IF('Atos Serv. Jud. Lei. 6369'!O299&gt;1,"ERRO",IF('Atos Serv. Jud. Lei. 6369'!O299=0,"",IF('Atos Serv. Jud. Lei. 6369'!E318=1,"1108-0",IF('Atos Serv. Jud. Lei. 6369'!E314=1,"1114-0","1108-0"))))</f>
        <v/>
      </c>
      <c r="C37" s="12" t="str">
        <f>IF('Atos Serv. Jud. Lei. 6369'!O299&gt;1,"ERRO",IF('Atos Serv. Jud. Lei. 6369'!O299=0,"",IF('Atos Serv. Jud. Lei. 6369'!F318=1,"Avaliação por Oficial de Justiça",IF('Atos Serv. Jud. Lei. 6369'!F314=1,"Central de Avaliadores da Capital","Atos dos Avaliadores Judiciais"))))</f>
        <v/>
      </c>
      <c r="D37" s="134">
        <f>IF(H37="",GRERJ1!H35+GRERJ2!H35+GRERJ3!H35+GRERJ4!H35+GRERJ5!H35,F37)</f>
        <v>0</v>
      </c>
      <c r="E37" s="418"/>
      <c r="F37" s="44">
        <f ca="1">IF('Atos Serv. Jud. Lei. 6369'!Q4=0,"Bloqueado",IF('Atos Serv. Jud. Lei. 6369'!F314=1,'Atos Serv. Jud. Lei. 6369'!O323,IF('Atos Serv. Jud. Lei. 6369'!F318=1,'Atos Serv. Jud. Lei. 6369'!O323,IF('Atos Serv. Jud. Lei. 6369'!F316=1,'Atos Serv. Jud. Lei. 6369'!O323*0.8,0))))</f>
        <v>0</v>
      </c>
      <c r="G37" s="132"/>
      <c r="H37" s="167"/>
      <c r="I37" s="552" t="s">
        <v>347</v>
      </c>
      <c r="J37" s="552"/>
      <c r="K37" s="552"/>
      <c r="L37" s="552"/>
      <c r="M37" s="552"/>
      <c r="N37" s="552"/>
      <c r="O37" s="199"/>
    </row>
    <row r="38" spans="1:17" ht="6.75" customHeight="1" x14ac:dyDescent="0.2">
      <c r="A38" s="132"/>
      <c r="B38" s="12"/>
      <c r="C38" s="50"/>
      <c r="D38" s="134"/>
      <c r="E38" s="418"/>
      <c r="F38" s="44"/>
      <c r="G38" s="132"/>
      <c r="H38" s="170"/>
      <c r="I38" s="486"/>
      <c r="J38" s="486"/>
      <c r="K38" s="486"/>
      <c r="L38" s="486"/>
      <c r="M38" s="486"/>
      <c r="N38" s="486"/>
      <c r="O38" s="199"/>
    </row>
    <row r="39" spans="1:17" ht="12.75" customHeight="1" x14ac:dyDescent="0.2">
      <c r="A39" s="132"/>
      <c r="B39" s="191"/>
      <c r="C39" s="50" t="str">
        <f>IF('Atos Serv. Jud. Lei. 6369'!O295&gt;1,"ERRO",IF('Atos Serv. Jud. Lei. 6369'!O295=1,"Avaliador Judicial",""))</f>
        <v/>
      </c>
      <c r="D39" s="134">
        <f>IF(H39="",GRERJ1!H37+GRERJ2!H37+GRERJ3!H37+GRERJ4!H37+GRERJ5!H37,F39)</f>
        <v>0</v>
      </c>
      <c r="E39" s="418"/>
      <c r="F39" s="44">
        <f ca="1">IF('Atos Serv. Jud. Lei. 6369'!Q4=0,"Bloqueado",IF('Atos Serv. Jud. Lei. 6369'!F316=1,'Atos Serv. Jud. Lei. 6369'!O323*0.2,0))</f>
        <v>0</v>
      </c>
      <c r="G39" s="132"/>
      <c r="H39" s="208"/>
      <c r="I39" s="552" t="s">
        <v>347</v>
      </c>
      <c r="J39" s="552"/>
      <c r="K39" s="552"/>
      <c r="L39" s="552"/>
      <c r="M39" s="552"/>
      <c r="N39" s="552"/>
      <c r="O39" s="209"/>
      <c r="P39" s="139">
        <f>COUNTA(B39)</f>
        <v>0</v>
      </c>
    </row>
    <row r="40" spans="1:17" ht="6.75" customHeight="1" x14ac:dyDescent="0.2">
      <c r="A40" s="132"/>
      <c r="B40" s="12"/>
      <c r="C40" s="50"/>
      <c r="D40" s="134"/>
      <c r="E40" s="418"/>
      <c r="F40" s="44"/>
      <c r="G40" s="132"/>
      <c r="H40" s="170"/>
      <c r="I40" s="486"/>
      <c r="J40" s="486"/>
      <c r="K40" s="486"/>
      <c r="L40" s="486"/>
      <c r="M40" s="486"/>
      <c r="N40" s="486"/>
      <c r="O40" s="199"/>
    </row>
    <row r="41" spans="1:17" x14ac:dyDescent="0.2">
      <c r="A41" s="132"/>
      <c r="B41" s="12" t="s">
        <v>317</v>
      </c>
      <c r="C41" s="50" t="s">
        <v>318</v>
      </c>
      <c r="D41" s="134">
        <f>IF(H41="",GRERJ1!H39+GRERJ2!H39+GRERJ3!H39+GRERJ4!H39+GRERJ5!H39,F41)</f>
        <v>0</v>
      </c>
      <c r="E41" s="418"/>
      <c r="F41" s="44">
        <f ca="1">IF('Atos Serv. Jud. Lei. 6369'!Q4=0,"Bloqueado",(F24+F26+F28+F30+F33+F35+F37+F39)*0.1)</f>
        <v>0</v>
      </c>
      <c r="G41" s="132"/>
      <c r="H41" s="167"/>
      <c r="I41" s="552" t="s">
        <v>347</v>
      </c>
      <c r="J41" s="552"/>
      <c r="K41" s="552"/>
      <c r="L41" s="552"/>
      <c r="M41" s="552"/>
      <c r="N41" s="552"/>
      <c r="O41" s="199"/>
      <c r="P41" s="139">
        <f>IF(C39="Avaliador Judicial",1,0)</f>
        <v>0</v>
      </c>
    </row>
    <row r="42" spans="1:17" ht="6.75" customHeight="1" x14ac:dyDescent="0.2">
      <c r="A42" s="132"/>
      <c r="B42" s="12"/>
      <c r="C42" s="50"/>
      <c r="D42" s="134"/>
      <c r="E42" s="418"/>
      <c r="F42" s="44"/>
      <c r="G42" s="132"/>
      <c r="H42" s="170"/>
      <c r="I42" s="486"/>
      <c r="J42" s="486"/>
      <c r="K42" s="486"/>
      <c r="L42" s="486"/>
      <c r="M42" s="486"/>
      <c r="N42" s="486"/>
      <c r="O42" s="199"/>
    </row>
    <row r="43" spans="1:17" x14ac:dyDescent="0.2">
      <c r="A43" s="132"/>
      <c r="B43" s="12"/>
      <c r="C43" s="50" t="s">
        <v>319</v>
      </c>
      <c r="D43" s="134">
        <f>IF(H43="",GRERJ1!U41+GRERJ2!U41+GRERJ3!U41+GRERJ4!U41+GRERJ5!U41,F43)</f>
        <v>0</v>
      </c>
      <c r="E43" s="418"/>
      <c r="F43" s="44">
        <f ca="1">IF('Atos Serv. Jud. Lei. 6369'!Q4=0,"Bloqueado",'Atos Serv. Jud. Lei. 6369'!F453)</f>
        <v>0</v>
      </c>
      <c r="G43" s="23"/>
      <c r="H43" s="71"/>
      <c r="I43" s="552" t="s">
        <v>347</v>
      </c>
      <c r="J43" s="552"/>
      <c r="K43" s="552"/>
      <c r="L43" s="552"/>
      <c r="M43" s="552"/>
      <c r="N43" s="552"/>
      <c r="O43" s="199"/>
      <c r="P43" s="139">
        <f>SUM(P39:P41)</f>
        <v>0</v>
      </c>
      <c r="Q43" s="139">
        <f>GRERJ1!U47+GRERJ2!U37+GRERJ3!U37+GRERJ4!U37+GRERJ5!U37</f>
        <v>0</v>
      </c>
    </row>
    <row r="44" spans="1:17" ht="6.75" customHeight="1" x14ac:dyDescent="0.2">
      <c r="A44" s="132"/>
      <c r="B44" s="195"/>
      <c r="C44" s="50"/>
      <c r="D44" s="134"/>
      <c r="E44" s="418"/>
      <c r="F44" s="44"/>
      <c r="G44" s="23"/>
      <c r="H44" s="151"/>
      <c r="I44" s="486"/>
      <c r="J44" s="486"/>
      <c r="K44" s="486"/>
      <c r="L44" s="486"/>
      <c r="M44" s="486"/>
      <c r="N44" s="486"/>
      <c r="O44" s="199"/>
    </row>
    <row r="45" spans="1:17" x14ac:dyDescent="0.2">
      <c r="A45" s="132"/>
      <c r="B45" s="12"/>
      <c r="C45" s="50" t="s">
        <v>320</v>
      </c>
      <c r="D45" s="134">
        <f>IF(H45="",GRERJ1!H43+GRERJ2!H43+GRERJ3!H43+GRERJ4!H43+GRERJ5!H43,F45)</f>
        <v>0</v>
      </c>
      <c r="E45" s="418"/>
      <c r="F45" s="44">
        <f ca="1">IF('Atos Serv. Jud. Lei. 6369'!Q4=0,"Bloqueado",'Atos Serv. Jud. Lei. 6369'!F445+'Atos Serv. Jud. Lei. 6369'!F449)</f>
        <v>0</v>
      </c>
      <c r="G45" s="23"/>
      <c r="H45" s="71"/>
      <c r="I45" s="552" t="s">
        <v>347</v>
      </c>
      <c r="J45" s="552"/>
      <c r="K45" s="552"/>
      <c r="L45" s="552"/>
      <c r="M45" s="552"/>
      <c r="N45" s="552"/>
      <c r="O45" s="199"/>
    </row>
    <row r="46" spans="1:17" ht="6.75" customHeight="1" x14ac:dyDescent="0.2">
      <c r="A46" s="132"/>
      <c r="B46" s="194"/>
      <c r="C46" s="50"/>
      <c r="D46" s="134"/>
      <c r="E46" s="418"/>
      <c r="F46" s="44"/>
      <c r="G46" s="132"/>
      <c r="H46" s="170"/>
      <c r="I46" s="486"/>
      <c r="J46" s="486"/>
      <c r="K46" s="486"/>
      <c r="L46" s="486"/>
      <c r="M46" s="486"/>
      <c r="N46" s="486"/>
      <c r="O46" s="199"/>
    </row>
    <row r="47" spans="1:17" x14ac:dyDescent="0.2">
      <c r="A47" s="132"/>
      <c r="B47" s="194" t="s">
        <v>321</v>
      </c>
      <c r="C47" s="50" t="s">
        <v>322</v>
      </c>
      <c r="D47" s="134">
        <f>IF(H47="",GRERJ1!H45+GRERJ2!H45+GRERJ3!H45+GRERJ4!H45+GRERJ5!H45,F47)</f>
        <v>0</v>
      </c>
      <c r="E47" s="418"/>
      <c r="F47" s="44">
        <f ca="1">IF('Atos Serv. Jud. Lei. 6369'!Q4=0,"Bloqueado",IF(F43="ERRO","ERRO",(F43+F55+F59+F63+F67)*0.2))</f>
        <v>0</v>
      </c>
      <c r="G47" s="132"/>
      <c r="H47" s="167"/>
      <c r="I47" s="552" t="s">
        <v>347</v>
      </c>
      <c r="J47" s="552"/>
      <c r="K47" s="552"/>
      <c r="L47" s="552"/>
      <c r="M47" s="552"/>
      <c r="N47" s="552"/>
      <c r="O47" s="199"/>
    </row>
    <row r="48" spans="1:17" ht="6.75" customHeight="1" x14ac:dyDescent="0.2">
      <c r="A48" s="132"/>
      <c r="B48" s="194"/>
      <c r="C48" s="50"/>
      <c r="D48" s="134"/>
      <c r="E48" s="418"/>
      <c r="F48" s="44"/>
      <c r="G48" s="132"/>
      <c r="H48" s="170"/>
      <c r="I48" s="486"/>
      <c r="J48" s="486"/>
      <c r="K48" s="486"/>
      <c r="L48" s="486"/>
      <c r="M48" s="486"/>
      <c r="N48" s="486"/>
      <c r="O48" s="199"/>
    </row>
    <row r="49" spans="1:15" x14ac:dyDescent="0.2">
      <c r="A49" s="132"/>
      <c r="B49" s="12" t="s">
        <v>323</v>
      </c>
      <c r="C49" s="50" t="s">
        <v>324</v>
      </c>
      <c r="D49" s="134">
        <f>IF(H49="",GRERJ1!H47+GRERJ2!H47+GRERJ3!H47+GRERJ4!H47+GRERJ5!H47,F49)</f>
        <v>0</v>
      </c>
      <c r="E49" s="418"/>
      <c r="F49" s="44">
        <f ca="1">'Atos Serv. Jud. Lei. 6369'!F410</f>
        <v>0</v>
      </c>
      <c r="G49" s="132"/>
      <c r="H49" s="167"/>
      <c r="I49" s="552" t="s">
        <v>347</v>
      </c>
      <c r="J49" s="552"/>
      <c r="K49" s="552"/>
      <c r="L49" s="552"/>
      <c r="M49" s="552"/>
      <c r="N49" s="552"/>
      <c r="O49" s="199"/>
    </row>
    <row r="50" spans="1:15" ht="6" customHeight="1" x14ac:dyDescent="0.2">
      <c r="A50" s="132"/>
      <c r="B50" s="12"/>
      <c r="C50" s="50"/>
      <c r="D50" s="134"/>
      <c r="E50" s="418"/>
      <c r="F50" s="44"/>
      <c r="G50" s="132"/>
      <c r="H50" s="170"/>
      <c r="I50" s="486"/>
      <c r="J50" s="486"/>
      <c r="K50" s="486"/>
      <c r="L50" s="486"/>
      <c r="M50" s="486"/>
      <c r="N50" s="486"/>
      <c r="O50" s="199"/>
    </row>
    <row r="51" spans="1:15" ht="13.5" customHeight="1" x14ac:dyDescent="0.2">
      <c r="A51" s="132"/>
      <c r="B51" s="12" t="s">
        <v>325</v>
      </c>
      <c r="C51" s="50" t="s">
        <v>326</v>
      </c>
      <c r="D51" s="134">
        <f>IF(H51="",GRERJ1!H49+GRERJ2!H49+GRERJ3!H49+GRERJ4!H49+GRERJ5!H49,F51)</f>
        <v>0</v>
      </c>
      <c r="E51" s="418"/>
      <c r="F51" s="44">
        <f ca="1">IF('Atos Serv. Jud. Lei. 6369'!Q4=0,"Bloqueado",IF(F43="ERRO","ERRO",(F24+F26+F30+F28+F33+F35+F37+F39+F43+F55+F59+F63+F67)*0.05))</f>
        <v>0</v>
      </c>
      <c r="G51" s="132"/>
      <c r="H51" s="167"/>
      <c r="I51" s="552" t="s">
        <v>347</v>
      </c>
      <c r="J51" s="552"/>
      <c r="K51" s="552"/>
      <c r="L51" s="552"/>
      <c r="M51" s="552"/>
      <c r="N51" s="552"/>
      <c r="O51" s="199"/>
    </row>
    <row r="52" spans="1:15" ht="6.75" customHeight="1" x14ac:dyDescent="0.2">
      <c r="A52" s="132"/>
      <c r="B52" s="12"/>
      <c r="C52" s="50"/>
      <c r="D52" s="134"/>
      <c r="E52" s="418"/>
      <c r="F52" s="44"/>
      <c r="G52" s="132"/>
      <c r="H52" s="170"/>
      <c r="I52" s="486"/>
      <c r="J52" s="486"/>
      <c r="K52" s="486"/>
      <c r="L52" s="486"/>
      <c r="M52" s="486"/>
      <c r="N52" s="486"/>
      <c r="O52" s="199"/>
    </row>
    <row r="53" spans="1:15" x14ac:dyDescent="0.2">
      <c r="A53" s="132"/>
      <c r="B53" s="12" t="s">
        <v>327</v>
      </c>
      <c r="C53" s="50" t="s">
        <v>328</v>
      </c>
      <c r="D53" s="134">
        <f>IF(H53="",GRERJ1!H51+GRERJ2!H51+GRERJ3!H51+GRERJ4!H51+GRERJ5!H51,F53)</f>
        <v>0</v>
      </c>
      <c r="E53" s="418"/>
      <c r="F53" s="44">
        <f ca="1">IF('Atos Serv. Jud. Lei. 6369'!Q4=0,"Bloqueado",IF(F43="ERRO","ERRO",(F24+F26+F28+F30+F33+F35+F37+F39+F43+F55+F59+F63+F67)*0.05))</f>
        <v>0</v>
      </c>
      <c r="G53" s="132"/>
      <c r="H53" s="167"/>
      <c r="I53" s="552" t="s">
        <v>347</v>
      </c>
      <c r="J53" s="552"/>
      <c r="K53" s="552"/>
      <c r="L53" s="552"/>
      <c r="M53" s="552"/>
      <c r="N53" s="552"/>
      <c r="O53" s="199"/>
    </row>
    <row r="54" spans="1:15" ht="6.75" customHeight="1" x14ac:dyDescent="0.2">
      <c r="A54" s="132"/>
      <c r="B54" s="132"/>
      <c r="C54" s="132"/>
      <c r="D54" s="134"/>
      <c r="E54" s="170"/>
      <c r="F54" s="168"/>
      <c r="G54" s="132"/>
      <c r="H54" s="170"/>
      <c r="I54" s="486"/>
      <c r="J54" s="486"/>
      <c r="K54" s="486"/>
      <c r="L54" s="486"/>
      <c r="M54" s="486"/>
      <c r="N54" s="486"/>
      <c r="O54" s="199"/>
    </row>
    <row r="55" spans="1:15" ht="12.75" customHeight="1" x14ac:dyDescent="0.2">
      <c r="A55" s="132"/>
      <c r="B55" s="166"/>
      <c r="C55" s="166" t="s">
        <v>319</v>
      </c>
      <c r="D55" s="134">
        <f>IF(H55="",GRERJ1!H53+GRERJ2!H53+GRERJ3!H53+GRERJ4!H53+GRERJ5!H53,F55)</f>
        <v>0</v>
      </c>
      <c r="E55" s="170"/>
      <c r="F55" s="44">
        <f ca="1">IF('Atos Serv. Jud. Lei. 6369'!Q4=0,"Bloqueado",'Atos Serv. Jud. Lei. 6369'!F477)</f>
        <v>0</v>
      </c>
      <c r="G55" s="132"/>
      <c r="H55" s="167"/>
      <c r="I55" s="552" t="s">
        <v>347</v>
      </c>
      <c r="J55" s="552"/>
      <c r="K55" s="552"/>
      <c r="L55" s="552"/>
      <c r="M55" s="552"/>
      <c r="N55" s="552"/>
      <c r="O55" s="199"/>
    </row>
    <row r="56" spans="1:15" ht="6.75" customHeight="1" x14ac:dyDescent="0.2">
      <c r="A56" s="132"/>
      <c r="B56" s="197"/>
      <c r="C56" s="166"/>
      <c r="D56" s="134"/>
      <c r="E56" s="170"/>
      <c r="F56" s="44"/>
      <c r="G56" s="132"/>
      <c r="H56" s="210"/>
      <c r="I56" s="486"/>
      <c r="J56" s="486"/>
      <c r="K56" s="486"/>
      <c r="L56" s="486"/>
      <c r="M56" s="486"/>
      <c r="N56" s="486"/>
      <c r="O56" s="199"/>
    </row>
    <row r="57" spans="1:15" ht="12.75" customHeight="1" x14ac:dyDescent="0.2">
      <c r="A57" s="132"/>
      <c r="B57" s="166"/>
      <c r="C57" s="50" t="s">
        <v>320</v>
      </c>
      <c r="D57" s="134">
        <f>IF(H57="",GRERJ1!H55+GRERJ2!H55+GRERJ3!H55+GRERJ4!H55+GRERJ5!H55,F57)</f>
        <v>0</v>
      </c>
      <c r="E57" s="170"/>
      <c r="F57" s="44">
        <f ca="1">IF('Atos Serv. Jud. Lei. 6369'!Q4=0,"Bloqueado",'Atos Serv. Jud. Lei. 6369'!F469+'Atos Serv. Jud. Lei. 6369'!F473)</f>
        <v>0</v>
      </c>
      <c r="G57" s="132"/>
      <c r="H57" s="167"/>
      <c r="I57" s="555" t="s">
        <v>347</v>
      </c>
      <c r="J57" s="555"/>
      <c r="K57" s="555"/>
      <c r="L57" s="555"/>
      <c r="M57" s="555"/>
      <c r="N57" s="555"/>
      <c r="O57" s="199"/>
    </row>
    <row r="58" spans="1:15" ht="6.75" customHeight="1" x14ac:dyDescent="0.2">
      <c r="A58" s="132"/>
      <c r="B58" s="166"/>
      <c r="C58" s="132"/>
      <c r="D58" s="134"/>
      <c r="E58" s="170"/>
      <c r="F58" s="168"/>
      <c r="G58" s="132"/>
      <c r="H58" s="170"/>
      <c r="I58" s="487"/>
      <c r="J58" s="487"/>
      <c r="K58" s="487"/>
      <c r="L58" s="487"/>
      <c r="M58" s="487"/>
      <c r="N58" s="487"/>
      <c r="O58" s="199"/>
    </row>
    <row r="59" spans="1:15" ht="12.75" customHeight="1" x14ac:dyDescent="0.2">
      <c r="A59" s="132"/>
      <c r="B59" s="166"/>
      <c r="C59" s="166" t="s">
        <v>319</v>
      </c>
      <c r="D59" s="134">
        <f>IF(H59="",GRERJ1!H57+GRERJ2!H57+GRERJ3!H57+GRERJ4!H57+GRERJ5!H57,F59)</f>
        <v>0</v>
      </c>
      <c r="E59" s="170"/>
      <c r="F59" s="44">
        <f ca="1">IF('Atos Serv. Jud. Lei. 6369'!Q4=0,"Bloqueado",'Atos Serv. Jud. Lei. 6369'!F501)</f>
        <v>0</v>
      </c>
      <c r="G59" s="132"/>
      <c r="H59" s="167"/>
      <c r="I59" s="555" t="s">
        <v>347</v>
      </c>
      <c r="J59" s="555"/>
      <c r="K59" s="555"/>
      <c r="L59" s="555"/>
      <c r="M59" s="555"/>
      <c r="N59" s="555"/>
      <c r="O59" s="199"/>
    </row>
    <row r="60" spans="1:15" ht="6.75" customHeight="1" x14ac:dyDescent="0.2">
      <c r="A60" s="132"/>
      <c r="B60" s="197"/>
      <c r="C60" s="166"/>
      <c r="D60" s="134"/>
      <c r="E60" s="170"/>
      <c r="F60" s="44"/>
      <c r="G60" s="132"/>
      <c r="H60" s="210"/>
      <c r="I60" s="555"/>
      <c r="J60" s="555"/>
      <c r="K60" s="555"/>
      <c r="L60" s="555"/>
      <c r="M60" s="555"/>
      <c r="N60" s="555"/>
      <c r="O60" s="199"/>
    </row>
    <row r="61" spans="1:15" ht="12.75" customHeight="1" x14ac:dyDescent="0.2">
      <c r="A61" s="132"/>
      <c r="B61" s="166"/>
      <c r="C61" s="50" t="s">
        <v>320</v>
      </c>
      <c r="D61" s="134">
        <f>IF(H61="",GRERJ1!H59+GRERJ2!H59+GRERJ3!H59+GRERJ4!H59+GRERJ5!H59,F61)</f>
        <v>0</v>
      </c>
      <c r="E61" s="170"/>
      <c r="F61" s="44">
        <f ca="1">IF('Atos Serv. Jud. Lei. 6369'!Q4=0,"Bloqueado",'Atos Serv. Jud. Lei. 6369'!F493+'Atos Serv. Jud. Lei. 6369'!F497)</f>
        <v>0</v>
      </c>
      <c r="G61" s="132"/>
      <c r="H61" s="167"/>
      <c r="I61" s="555" t="s">
        <v>347</v>
      </c>
      <c r="J61" s="555"/>
      <c r="K61" s="555"/>
      <c r="L61" s="555"/>
      <c r="M61" s="555"/>
      <c r="N61" s="555"/>
      <c r="O61" s="199"/>
    </row>
    <row r="62" spans="1:15" ht="6.75" customHeight="1" x14ac:dyDescent="0.2">
      <c r="A62" s="132"/>
      <c r="B62" s="166"/>
      <c r="C62" s="166"/>
      <c r="D62" s="134"/>
      <c r="E62" s="170"/>
      <c r="F62" s="168"/>
      <c r="G62" s="132"/>
      <c r="H62" s="210"/>
      <c r="I62" s="488"/>
      <c r="J62" s="488"/>
      <c r="K62" s="488"/>
      <c r="L62" s="488"/>
      <c r="M62" s="488"/>
      <c r="N62" s="488"/>
      <c r="O62" s="199"/>
    </row>
    <row r="63" spans="1:15" ht="12.75" customHeight="1" x14ac:dyDescent="0.2">
      <c r="A63" s="132"/>
      <c r="B63" s="166"/>
      <c r="C63" s="166" t="s">
        <v>319</v>
      </c>
      <c r="D63" s="134">
        <f>IF(H63="",GRERJ1!H61+GRERJ2!H61+GRERJ3!H61+GRERJ4!H61+GRERJ5!H61,F63)</f>
        <v>0</v>
      </c>
      <c r="E63" s="170"/>
      <c r="F63" s="44">
        <f ca="1">IF('Atos Serv. Jud. Lei. 6369'!Q4=0,"Bloqueado",'Atos Serv. Jud. Lei. 6369'!F525)</f>
        <v>0</v>
      </c>
      <c r="G63" s="132"/>
      <c r="H63" s="167"/>
      <c r="I63" s="488" t="s">
        <v>347</v>
      </c>
      <c r="J63" s="488"/>
      <c r="K63" s="488"/>
      <c r="L63" s="488"/>
      <c r="M63" s="488"/>
      <c r="N63" s="488"/>
      <c r="O63" s="199"/>
    </row>
    <row r="64" spans="1:15" ht="6.75" customHeight="1" x14ac:dyDescent="0.2">
      <c r="A64" s="132"/>
      <c r="B64" s="197"/>
      <c r="C64" s="166"/>
      <c r="D64" s="134"/>
      <c r="E64" s="170"/>
      <c r="F64" s="44"/>
      <c r="G64" s="132"/>
      <c r="H64" s="210"/>
      <c r="I64" s="488"/>
      <c r="J64" s="488"/>
      <c r="K64" s="488"/>
      <c r="L64" s="488"/>
      <c r="M64" s="488"/>
      <c r="N64" s="488"/>
      <c r="O64" s="199"/>
    </row>
    <row r="65" spans="1:23" ht="12.75" customHeight="1" x14ac:dyDescent="0.2">
      <c r="A65" s="132"/>
      <c r="B65" s="166"/>
      <c r="C65" s="50" t="s">
        <v>320</v>
      </c>
      <c r="D65" s="134">
        <f>IF(H65="",GRERJ1!H63+GRERJ2!H63+GRERJ3!H63+GRERJ4!H63+GRERJ5!H63,F65)</f>
        <v>0</v>
      </c>
      <c r="E65" s="170"/>
      <c r="F65" s="44">
        <f ca="1">IF('Atos Serv. Jud. Lei. 6369'!Q4=0,"Bloqueado",'Atos Serv. Jud. Lei. 6369'!F517+'Atos Serv. Jud. Lei. 6369'!F521)</f>
        <v>0</v>
      </c>
      <c r="G65" s="132"/>
      <c r="H65" s="167"/>
      <c r="I65" s="488" t="s">
        <v>347</v>
      </c>
      <c r="J65" s="488"/>
      <c r="K65" s="488"/>
      <c r="L65" s="488"/>
      <c r="M65" s="488"/>
      <c r="N65" s="488"/>
      <c r="O65" s="199"/>
    </row>
    <row r="66" spans="1:23" ht="6.75" customHeight="1" x14ac:dyDescent="0.2">
      <c r="A66" s="132"/>
      <c r="B66" s="166"/>
      <c r="C66" s="166"/>
      <c r="D66" s="134"/>
      <c r="E66" s="170"/>
      <c r="F66" s="168"/>
      <c r="G66" s="132"/>
      <c r="H66" s="210"/>
      <c r="I66" s="488"/>
      <c r="J66" s="488"/>
      <c r="K66" s="488"/>
      <c r="L66" s="488"/>
      <c r="M66" s="488"/>
      <c r="N66" s="488"/>
      <c r="O66" s="199"/>
      <c r="P66" s="136"/>
      <c r="Q66" s="136"/>
      <c r="R66" s="136"/>
      <c r="S66" s="136"/>
      <c r="T66" s="136"/>
    </row>
    <row r="67" spans="1:23" ht="12.75" customHeight="1" x14ac:dyDescent="0.2">
      <c r="A67" s="132"/>
      <c r="B67" s="166"/>
      <c r="C67" s="166" t="s">
        <v>319</v>
      </c>
      <c r="D67" s="134">
        <f>IF(H67="",GRERJ1!H65+GRERJ2!H65+GRERJ3!H65+GRERJ4!H65+GRERJ5!H65,F67)</f>
        <v>0</v>
      </c>
      <c r="E67" s="170"/>
      <c r="F67" s="44">
        <f ca="1">IF('Atos Serv. Jud. Lei. 6369'!Q4=0,"Bloqueado",'Atos Serv. Jud. Lei. 6369'!F549)</f>
        <v>0</v>
      </c>
      <c r="G67" s="132"/>
      <c r="H67" s="167"/>
      <c r="I67" s="489" t="s">
        <v>347</v>
      </c>
      <c r="J67" s="487"/>
      <c r="K67" s="487"/>
      <c r="L67" s="487"/>
      <c r="M67" s="487"/>
      <c r="N67" s="487"/>
      <c r="O67" s="199"/>
      <c r="P67" s="136"/>
      <c r="Q67" s="136"/>
      <c r="R67" s="136"/>
      <c r="S67" s="136"/>
      <c r="T67" s="136"/>
    </row>
    <row r="68" spans="1:23" ht="6.75" customHeight="1" x14ac:dyDescent="0.2">
      <c r="A68" s="132"/>
      <c r="B68" s="197"/>
      <c r="C68" s="166"/>
      <c r="D68" s="134"/>
      <c r="E68" s="170"/>
      <c r="F68" s="44"/>
      <c r="G68" s="132"/>
      <c r="H68" s="210"/>
      <c r="I68" s="489"/>
      <c r="J68" s="487"/>
      <c r="K68" s="487"/>
      <c r="L68" s="487"/>
      <c r="M68" s="487"/>
      <c r="N68" s="487"/>
      <c r="O68" s="199"/>
      <c r="P68" s="136"/>
      <c r="Q68" s="136"/>
      <c r="R68" s="136"/>
      <c r="S68" s="136"/>
      <c r="T68" s="136"/>
    </row>
    <row r="69" spans="1:23" ht="12.75" customHeight="1" x14ac:dyDescent="0.2">
      <c r="A69" s="132"/>
      <c r="B69" s="166"/>
      <c r="C69" s="50" t="s">
        <v>320</v>
      </c>
      <c r="D69" s="134">
        <f>IF(H69="",GRERJ1!H67+GRERJ2!H67+GRERJ3!H67+GRERJ4!H67+GRERJ5!H67,F69)</f>
        <v>0</v>
      </c>
      <c r="E69" s="170"/>
      <c r="F69" s="44">
        <f ca="1">IF('Atos Serv. Jud. Lei. 6369'!Q4=0,"Bloqueado",'Atos Serv. Jud. Lei. 6369'!F541+'Atos Serv. Jud. Lei. 6369'!F545)</f>
        <v>0</v>
      </c>
      <c r="G69" s="132"/>
      <c r="H69" s="167"/>
      <c r="I69" s="489" t="s">
        <v>347</v>
      </c>
      <c r="J69" s="487"/>
      <c r="K69" s="487"/>
      <c r="L69" s="487"/>
      <c r="M69" s="487"/>
      <c r="N69" s="487"/>
      <c r="O69" s="199"/>
      <c r="P69" s="136"/>
      <c r="Q69" s="136"/>
      <c r="R69" s="136"/>
      <c r="S69" s="136"/>
      <c r="T69" s="136"/>
    </row>
    <row r="70" spans="1:23" ht="6.75" customHeight="1" x14ac:dyDescent="0.2">
      <c r="A70" s="132"/>
      <c r="B70" s="12"/>
      <c r="C70" s="12"/>
      <c r="D70" s="134"/>
      <c r="E70" s="50"/>
      <c r="F70" s="418"/>
      <c r="G70" s="418"/>
      <c r="H70" s="134"/>
      <c r="I70" s="488"/>
      <c r="J70" s="488"/>
      <c r="K70" s="488"/>
      <c r="L70" s="488"/>
      <c r="M70" s="488"/>
      <c r="N70" s="488"/>
      <c r="O70" s="414"/>
      <c r="P70" s="135"/>
      <c r="Q70" s="135"/>
      <c r="R70" s="135"/>
      <c r="S70" s="136"/>
      <c r="T70" s="137"/>
      <c r="U70" s="138"/>
      <c r="V70" s="138"/>
      <c r="W70" s="138"/>
    </row>
    <row r="71" spans="1:23" x14ac:dyDescent="0.2">
      <c r="A71" s="132"/>
      <c r="B71" s="12" t="s">
        <v>329</v>
      </c>
      <c r="C71" s="50" t="s">
        <v>218</v>
      </c>
      <c r="D71" s="134">
        <f>IF(H71="",GRERJ1!H69+GRERJ2!H69+GRERJ3!H69+GRERJ4!H69+GRERJ5!H69,F71)</f>
        <v>0</v>
      </c>
      <c r="E71" s="50"/>
      <c r="F71" s="106">
        <f ca="1">'Atos Serv. Jud. Lei. 6369'!F417</f>
        <v>0</v>
      </c>
      <c r="G71" s="418"/>
      <c r="H71" s="211"/>
      <c r="I71" s="489" t="s">
        <v>347</v>
      </c>
      <c r="J71" s="488"/>
      <c r="K71" s="488"/>
      <c r="L71" s="488"/>
      <c r="M71" s="488"/>
      <c r="N71" s="488"/>
      <c r="O71" s="414"/>
      <c r="P71" s="135"/>
      <c r="Q71" s="135"/>
      <c r="R71" s="135"/>
      <c r="S71" s="136"/>
      <c r="T71" s="137"/>
      <c r="U71" s="138"/>
      <c r="V71" s="138"/>
      <c r="W71" s="138"/>
    </row>
    <row r="72" spans="1:23" ht="6.75" customHeight="1" x14ac:dyDescent="0.2">
      <c r="A72" s="132"/>
      <c r="B72" s="12"/>
      <c r="C72" s="132"/>
      <c r="D72" s="134"/>
      <c r="E72" s="50"/>
      <c r="F72" s="65"/>
      <c r="G72" s="418"/>
      <c r="H72" s="134"/>
      <c r="I72" s="488"/>
      <c r="J72" s="488"/>
      <c r="K72" s="488"/>
      <c r="L72" s="488"/>
      <c r="M72" s="488"/>
      <c r="N72" s="488"/>
      <c r="O72" s="414"/>
      <c r="P72" s="135"/>
      <c r="Q72" s="135"/>
      <c r="R72" s="135"/>
      <c r="S72" s="136"/>
      <c r="T72" s="137"/>
      <c r="U72" s="138"/>
      <c r="V72" s="138"/>
      <c r="W72" s="138"/>
    </row>
    <row r="73" spans="1:23" x14ac:dyDescent="0.2">
      <c r="A73" s="132"/>
      <c r="B73" s="12" t="s">
        <v>330</v>
      </c>
      <c r="C73" s="50" t="s">
        <v>224</v>
      </c>
      <c r="D73" s="134">
        <f>IF(H73="",GRERJ1!H71+GRERJ2!H71+GRERJ3!H71+GRERJ4!H71+GRERJ5!H71,F73)</f>
        <v>0</v>
      </c>
      <c r="E73" s="50"/>
      <c r="F73" s="106">
        <f ca="1">'Atos Serv. Jud. Lei. 6369'!F428</f>
        <v>0</v>
      </c>
      <c r="G73" s="418"/>
      <c r="H73" s="211"/>
      <c r="I73" s="489" t="s">
        <v>347</v>
      </c>
      <c r="J73" s="488"/>
      <c r="K73" s="488"/>
      <c r="L73" s="488"/>
      <c r="M73" s="488"/>
      <c r="N73" s="488"/>
      <c r="O73" s="414"/>
      <c r="P73" s="135"/>
      <c r="Q73" s="135"/>
      <c r="R73" s="135"/>
      <c r="S73" s="136"/>
      <c r="T73" s="137"/>
      <c r="U73" s="138"/>
      <c r="V73" s="138"/>
      <c r="W73" s="138"/>
    </row>
    <row r="74" spans="1:23" ht="6.75" customHeight="1" x14ac:dyDescent="0.2">
      <c r="A74" s="132"/>
      <c r="B74" s="12"/>
      <c r="C74" s="50"/>
      <c r="D74" s="134"/>
      <c r="E74" s="50"/>
      <c r="F74" s="106"/>
      <c r="G74" s="418"/>
      <c r="H74" s="357"/>
      <c r="I74" s="489"/>
      <c r="J74" s="488"/>
      <c r="K74" s="488"/>
      <c r="L74" s="488"/>
      <c r="M74" s="488"/>
      <c r="N74" s="488"/>
      <c r="O74" s="414"/>
      <c r="P74" s="135"/>
      <c r="Q74" s="135"/>
      <c r="R74" s="135"/>
      <c r="S74" s="136"/>
      <c r="T74" s="137"/>
      <c r="U74" s="138"/>
      <c r="V74" s="138"/>
      <c r="W74" s="138"/>
    </row>
    <row r="75" spans="1:23" ht="12.75" customHeight="1" x14ac:dyDescent="0.2">
      <c r="A75" s="132"/>
      <c r="B75" s="12" t="s">
        <v>331</v>
      </c>
      <c r="C75" s="50" t="s">
        <v>332</v>
      </c>
      <c r="D75" s="134">
        <f>IF(H75="",GRERJ1!H73+GRERJ2!H73+GRERJ3!H73+GRERJ4!H73+GRERJ5!H73,F75)</f>
        <v>0</v>
      </c>
      <c r="E75" s="418"/>
      <c r="F75" s="44">
        <f ca="1">IF('Atos Serv. Jud. Lei. 6369'!Q4=0,"Bloqueado",'Atos Serv. Jud. Lei. 6369'!F255)</f>
        <v>0</v>
      </c>
      <c r="G75" s="132"/>
      <c r="H75" s="167"/>
      <c r="I75" s="555" t="s">
        <v>347</v>
      </c>
      <c r="J75" s="555"/>
      <c r="K75" s="555"/>
      <c r="L75" s="555"/>
      <c r="M75" s="555"/>
      <c r="N75" s="555"/>
      <c r="O75" s="199"/>
    </row>
    <row r="76" spans="1:23" ht="6" customHeight="1" x14ac:dyDescent="0.2">
      <c r="A76" s="132"/>
      <c r="B76" s="132"/>
      <c r="C76" s="132"/>
      <c r="D76" s="132"/>
      <c r="E76" s="132"/>
      <c r="F76" s="132"/>
      <c r="G76" s="132"/>
      <c r="H76" s="132"/>
      <c r="I76" s="487"/>
      <c r="J76" s="487"/>
      <c r="K76" s="487"/>
      <c r="L76" s="487"/>
      <c r="M76" s="487"/>
      <c r="N76" s="487"/>
      <c r="O76" s="199"/>
      <c r="P76" s="136"/>
      <c r="Q76" s="136"/>
      <c r="R76" s="136"/>
      <c r="S76" s="136"/>
      <c r="T76" s="136"/>
    </row>
    <row r="77" spans="1:23" x14ac:dyDescent="0.2">
      <c r="A77" s="132"/>
      <c r="B77" s="12" t="s">
        <v>333</v>
      </c>
      <c r="C77" s="50" t="s">
        <v>334</v>
      </c>
      <c r="D77" s="134">
        <f>IF(H77="",GRERJ1!H75+GRERJ2!H75+GRERJ3!H75+GRERJ4!H75+GRERJ5!H75,F77)</f>
        <v>0</v>
      </c>
      <c r="E77" s="418"/>
      <c r="F77" s="44">
        <f ca="1">IF('Atos Serv. Jud. Lei. 6369'!Q4=0,"Bloqueado",'Atos Serv. Jud. Lei. 6369'!F414)</f>
        <v>0</v>
      </c>
      <c r="G77" s="132"/>
      <c r="H77" s="167"/>
      <c r="I77" s="555" t="s">
        <v>347</v>
      </c>
      <c r="J77" s="555"/>
      <c r="K77" s="555"/>
      <c r="L77" s="555"/>
      <c r="M77" s="555"/>
      <c r="N77" s="555"/>
      <c r="O77" s="199"/>
      <c r="P77" s="136"/>
      <c r="Q77" s="136"/>
      <c r="R77" s="136"/>
      <c r="S77" s="136"/>
      <c r="T77" s="136"/>
    </row>
    <row r="78" spans="1:23" x14ac:dyDescent="0.2">
      <c r="A78" s="132"/>
      <c r="B78" s="132"/>
      <c r="C78" s="132"/>
      <c r="D78" s="132"/>
      <c r="E78" s="132"/>
      <c r="F78" s="132"/>
      <c r="G78" s="132"/>
      <c r="H78" s="132"/>
      <c r="I78" s="481"/>
      <c r="J78" s="481"/>
      <c r="K78" s="481"/>
      <c r="L78" s="481"/>
      <c r="M78" s="481"/>
      <c r="N78" s="481"/>
      <c r="O78" s="199"/>
      <c r="P78" s="136"/>
      <c r="Q78" s="136"/>
      <c r="R78" s="136"/>
      <c r="S78" s="136"/>
      <c r="T78" s="136"/>
    </row>
    <row r="79" spans="1:23" x14ac:dyDescent="0.2">
      <c r="A79" s="132"/>
      <c r="B79" s="132"/>
      <c r="C79" s="171" t="s">
        <v>335</v>
      </c>
      <c r="D79" s="168">
        <f>SUM(D24:D69)</f>
        <v>0</v>
      </c>
      <c r="E79" s="170"/>
      <c r="F79" s="168">
        <f ca="1">SUM(F24:F69)</f>
        <v>0</v>
      </c>
      <c r="G79" s="132"/>
      <c r="H79" s="132"/>
      <c r="I79" s="481"/>
      <c r="J79" s="481"/>
      <c r="K79" s="481"/>
      <c r="L79" s="481"/>
      <c r="M79" s="481"/>
      <c r="N79" s="481"/>
      <c r="O79" s="199"/>
      <c r="P79" s="136"/>
      <c r="Q79" s="136"/>
      <c r="R79" s="136"/>
      <c r="S79" s="136"/>
      <c r="T79" s="136"/>
    </row>
    <row r="80" spans="1:23" x14ac:dyDescent="0.2">
      <c r="A80" s="132"/>
      <c r="B80" s="132"/>
      <c r="C80" s="132"/>
      <c r="D80" s="132"/>
      <c r="E80" s="132"/>
      <c r="F80" s="132"/>
      <c r="G80" s="132"/>
      <c r="H80" s="132"/>
      <c r="I80" s="481"/>
      <c r="J80" s="481"/>
      <c r="K80" s="481"/>
      <c r="L80" s="481"/>
      <c r="M80" s="481"/>
      <c r="N80" s="481"/>
      <c r="O80" s="199"/>
      <c r="P80" s="136"/>
      <c r="Q80" s="136"/>
      <c r="R80" s="136"/>
      <c r="S80" s="136"/>
      <c r="T80" s="136"/>
    </row>
    <row r="81" spans="1:20" ht="38.25" x14ac:dyDescent="0.2">
      <c r="A81" s="132"/>
      <c r="B81" s="188" t="s">
        <v>299</v>
      </c>
      <c r="C81" s="188" t="s">
        <v>300</v>
      </c>
      <c r="D81" s="188" t="s">
        <v>345</v>
      </c>
      <c r="E81" s="188"/>
      <c r="F81" s="188" t="s">
        <v>346</v>
      </c>
      <c r="G81" s="132"/>
      <c r="H81" s="132"/>
      <c r="I81" s="481"/>
      <c r="J81" s="481"/>
      <c r="K81" s="481"/>
      <c r="L81" s="481"/>
      <c r="M81" s="481"/>
      <c r="N81" s="481"/>
      <c r="O81" s="199"/>
      <c r="P81" s="136"/>
      <c r="Q81" s="136"/>
      <c r="R81" s="136"/>
      <c r="S81" s="136"/>
      <c r="T81" s="136"/>
    </row>
    <row r="82" spans="1:20" x14ac:dyDescent="0.2">
      <c r="A82" s="132"/>
      <c r="B82" s="166" t="s">
        <v>337</v>
      </c>
      <c r="C82" s="166" t="s">
        <v>338</v>
      </c>
      <c r="D82" s="134">
        <f>IF(H82="",GRERJ1!H86+GRERJ2!H86+GRERJ3!H86+GRERJ4!H86+GRERJ5!H86,F82)</f>
        <v>0</v>
      </c>
      <c r="E82" s="132"/>
      <c r="F82" s="168">
        <f ca="1">IF('Atos Serv. Jud. Lei. 6369'!Q4=0,"Bloqueado",'Atos Sec. Trib. Lei. 6369'!D30)</f>
        <v>0</v>
      </c>
      <c r="G82" s="132"/>
      <c r="H82" s="167"/>
      <c r="I82" s="552" t="s">
        <v>347</v>
      </c>
      <c r="J82" s="552"/>
      <c r="K82" s="552"/>
      <c r="L82" s="552"/>
      <c r="M82" s="552"/>
      <c r="N82" s="552"/>
      <c r="O82" s="132"/>
    </row>
    <row r="83" spans="1:20" ht="6.75" customHeight="1" x14ac:dyDescent="0.2">
      <c r="A83" s="132"/>
      <c r="B83" s="166"/>
      <c r="C83" s="166"/>
      <c r="D83" s="134"/>
      <c r="E83" s="132"/>
      <c r="F83" s="168"/>
      <c r="G83" s="132"/>
      <c r="H83" s="170"/>
      <c r="I83" s="482"/>
      <c r="J83" s="482"/>
      <c r="K83" s="482"/>
      <c r="L83" s="482"/>
      <c r="M83" s="482"/>
      <c r="N83" s="482"/>
      <c r="O83" s="132"/>
    </row>
    <row r="84" spans="1:20" x14ac:dyDescent="0.2">
      <c r="A84" s="132"/>
      <c r="B84" s="166" t="s">
        <v>307</v>
      </c>
      <c r="C84" s="166" t="s">
        <v>348</v>
      </c>
      <c r="D84" s="134">
        <f>IF(H84="",GRERJ1!H88+GRERJ2!H88+GRERJ3!H88+GRERJ4!H88+GRERJ5!H88,F84)</f>
        <v>0</v>
      </c>
      <c r="E84" s="132"/>
      <c r="F84" s="168">
        <f ca="1">IF('Atos Serv. Jud. Lei. 6369'!Q4=0,"Bloqueado",'Atos Sec. Trib. Lei. 6369'!D33+'Atos Sec. Trib. Lei. 6369'!D35+'Atos Sec. Trib. Lei. 6369'!D37)</f>
        <v>0</v>
      </c>
      <c r="G84" s="132"/>
      <c r="H84" s="167"/>
      <c r="I84" s="552" t="s">
        <v>347</v>
      </c>
      <c r="J84" s="552"/>
      <c r="K84" s="552"/>
      <c r="L84" s="552"/>
      <c r="M84" s="552"/>
      <c r="N84" s="552"/>
      <c r="O84" s="132"/>
    </row>
    <row r="85" spans="1:20" ht="6.75" customHeight="1" x14ac:dyDescent="0.2">
      <c r="A85" s="132"/>
      <c r="B85" s="166"/>
      <c r="C85" s="166"/>
      <c r="D85" s="134"/>
      <c r="E85" s="132"/>
      <c r="F85" s="168"/>
      <c r="G85" s="132"/>
      <c r="H85" s="170"/>
      <c r="I85" s="482"/>
      <c r="J85" s="482"/>
      <c r="K85" s="482"/>
      <c r="L85" s="482"/>
      <c r="M85" s="482"/>
      <c r="N85" s="482"/>
      <c r="O85" s="132"/>
    </row>
    <row r="86" spans="1:20" x14ac:dyDescent="0.2">
      <c r="A86" s="132"/>
      <c r="B86" s="12" t="s">
        <v>317</v>
      </c>
      <c r="C86" s="50" t="s">
        <v>318</v>
      </c>
      <c r="D86" s="134">
        <f>IF(H86="",GRERJ1!H90+GRERJ2!H90+GRERJ3!H90+GRERJ4!H90+GRERJ5!H90,F86)</f>
        <v>0</v>
      </c>
      <c r="E86" s="418"/>
      <c r="F86" s="44">
        <f ca="1">IF('Atos Serv. Jud. Lei. 6369'!Q4=0,"Bloqueado",(F82+F84)*0.1)</f>
        <v>0</v>
      </c>
      <c r="G86" s="132"/>
      <c r="H86" s="167"/>
      <c r="I86" s="552" t="s">
        <v>347</v>
      </c>
      <c r="J86" s="552"/>
      <c r="K86" s="552"/>
      <c r="L86" s="552"/>
      <c r="M86" s="552"/>
      <c r="N86" s="552"/>
      <c r="O86" s="132"/>
    </row>
    <row r="87" spans="1:20" ht="6.75" customHeight="1" x14ac:dyDescent="0.2">
      <c r="A87" s="132"/>
      <c r="B87" s="132"/>
      <c r="C87" s="132"/>
      <c r="D87" s="134"/>
      <c r="E87" s="132"/>
      <c r="F87" s="132"/>
      <c r="G87" s="132"/>
      <c r="H87" s="170"/>
      <c r="I87" s="482"/>
      <c r="J87" s="482"/>
      <c r="K87" s="482"/>
      <c r="L87" s="482"/>
      <c r="M87" s="482"/>
      <c r="N87" s="482"/>
      <c r="O87" s="132"/>
    </row>
    <row r="88" spans="1:20" x14ac:dyDescent="0.2">
      <c r="A88" s="132"/>
      <c r="B88" s="12" t="s">
        <v>325</v>
      </c>
      <c r="C88" s="50" t="s">
        <v>326</v>
      </c>
      <c r="D88" s="134">
        <f>IF(H88="",GRERJ1!H92+GRERJ2!H92+GRERJ3!H92+GRERJ4!H92+GRERJ5!H92,F88)</f>
        <v>0</v>
      </c>
      <c r="E88" s="418"/>
      <c r="F88" s="44">
        <f ca="1">IF('Atos Serv. Jud. Lei. 6369'!Q4=0,"Bloqueado",(F82+F84)*0.05)</f>
        <v>0</v>
      </c>
      <c r="G88" s="132"/>
      <c r="H88" s="167"/>
      <c r="I88" s="552" t="str">
        <f>IF(D88=D90,"Marcar o campo ao lado se deseja desconsiderar o valor somado e corrigido ","Valores corrigidos segundo Lei Estadual 4664/2005 e 111/2006")</f>
        <v xml:space="preserve">Marcar o campo ao lado se deseja desconsiderar o valor somado e corrigido </v>
      </c>
      <c r="J88" s="552"/>
      <c r="K88" s="552"/>
      <c r="L88" s="552"/>
      <c r="M88" s="552"/>
      <c r="N88" s="552"/>
      <c r="O88" s="132"/>
    </row>
    <row r="89" spans="1:20" ht="6.75" customHeight="1" x14ac:dyDescent="0.2">
      <c r="A89" s="132"/>
      <c r="B89" s="12"/>
      <c r="C89" s="50"/>
      <c r="D89" s="134"/>
      <c r="E89" s="418"/>
      <c r="F89" s="44"/>
      <c r="G89" s="132"/>
      <c r="H89" s="170"/>
      <c r="I89" s="482"/>
      <c r="J89" s="482"/>
      <c r="K89" s="482"/>
      <c r="L89" s="482"/>
      <c r="M89" s="482"/>
      <c r="N89" s="482"/>
      <c r="O89" s="132"/>
    </row>
    <row r="90" spans="1:20" x14ac:dyDescent="0.2">
      <c r="A90" s="132"/>
      <c r="B90" s="12" t="s">
        <v>327</v>
      </c>
      <c r="C90" s="50" t="s">
        <v>328</v>
      </c>
      <c r="D90" s="134">
        <f>IF(H90="",GRERJ1!H94+GRERJ2!H94+GRERJ3!H94+GRERJ4!H94+GRERJ5!H94,F90)</f>
        <v>0</v>
      </c>
      <c r="E90" s="418"/>
      <c r="F90" s="44">
        <f ca="1">IF('Atos Serv. Jud. Lei. 6369'!Q4=0,"Bloqueado",(F82+F84)*0.05)</f>
        <v>0</v>
      </c>
      <c r="G90" s="132"/>
      <c r="H90" s="167"/>
      <c r="I90" s="552" t="str">
        <f>IF(D88=D90,"Marcar o campo ao lado se deseja desconsiderar o valor somado e corrigido ","Valores corrigidos segundo Lei Estadual 4664/2005 e 111/2006")</f>
        <v xml:space="preserve">Marcar o campo ao lado se deseja desconsiderar o valor somado e corrigido </v>
      </c>
      <c r="J90" s="552"/>
      <c r="K90" s="552"/>
      <c r="L90" s="552"/>
      <c r="M90" s="552"/>
      <c r="N90" s="552"/>
      <c r="O90" s="132"/>
    </row>
    <row r="91" spans="1:20" x14ac:dyDescent="0.2">
      <c r="A91" s="132"/>
      <c r="B91" s="132"/>
      <c r="C91" s="132"/>
      <c r="D91" s="132"/>
      <c r="E91" s="132"/>
      <c r="F91" s="132"/>
      <c r="G91" s="132"/>
      <c r="H91" s="132"/>
      <c r="I91" s="132"/>
      <c r="J91" s="132"/>
      <c r="K91" s="132"/>
      <c r="L91" s="132"/>
      <c r="M91" s="132"/>
      <c r="N91" s="132"/>
      <c r="O91" s="132"/>
    </row>
    <row r="92" spans="1:20" s="136" customFormat="1" x14ac:dyDescent="0.2"/>
    <row r="93" spans="1:20" s="136" customFormat="1" x14ac:dyDescent="0.2"/>
    <row r="94" spans="1:20" s="136" customFormat="1" x14ac:dyDescent="0.2"/>
    <row r="95" spans="1:20" s="136" customFormat="1" x14ac:dyDescent="0.2"/>
    <row r="96" spans="1:20" s="136" customFormat="1" x14ac:dyDescent="0.2"/>
    <row r="97" s="136" customFormat="1" x14ac:dyDescent="0.2"/>
    <row r="98" s="136" customFormat="1" x14ac:dyDescent="0.2"/>
    <row r="99" s="136" customFormat="1" x14ac:dyDescent="0.2"/>
    <row r="100" s="136" customFormat="1" x14ac:dyDescent="0.2"/>
  </sheetData>
  <mergeCells count="54">
    <mergeCell ref="I53:N53"/>
    <mergeCell ref="I55:N55"/>
    <mergeCell ref="I59:N59"/>
    <mergeCell ref="I57:N57"/>
    <mergeCell ref="G20:K20"/>
    <mergeCell ref="H23:N23"/>
    <mergeCell ref="I43:N43"/>
    <mergeCell ref="I45:N45"/>
    <mergeCell ref="I47:N47"/>
    <mergeCell ref="I49:N49"/>
    <mergeCell ref="I51:N51"/>
    <mergeCell ref="I37:N37"/>
    <mergeCell ref="I39:N39"/>
    <mergeCell ref="I41:N41"/>
    <mergeCell ref="I30:N30"/>
    <mergeCell ref="I33:N33"/>
    <mergeCell ref="I90:N90"/>
    <mergeCell ref="I60:N60"/>
    <mergeCell ref="I61:N61"/>
    <mergeCell ref="I82:N82"/>
    <mergeCell ref="I84:N84"/>
    <mergeCell ref="I86:N86"/>
    <mergeCell ref="I77:N77"/>
    <mergeCell ref="I88:N88"/>
    <mergeCell ref="I75:N75"/>
    <mergeCell ref="A17:B17"/>
    <mergeCell ref="D17:F17"/>
    <mergeCell ref="I17:M17"/>
    <mergeCell ref="I26:N26"/>
    <mergeCell ref="I28:N28"/>
    <mergeCell ref="I35:N35"/>
    <mergeCell ref="I18:M18"/>
    <mergeCell ref="A19:B19"/>
    <mergeCell ref="D19:F19"/>
    <mergeCell ref="I19:M19"/>
    <mergeCell ref="I24:N24"/>
    <mergeCell ref="A11:B11"/>
    <mergeCell ref="D11:F11"/>
    <mergeCell ref="I11:M11"/>
    <mergeCell ref="I12:M12"/>
    <mergeCell ref="A13:B13"/>
    <mergeCell ref="D13:F13"/>
    <mergeCell ref="I13:M13"/>
    <mergeCell ref="I14:M14"/>
    <mergeCell ref="A15:B15"/>
    <mergeCell ref="D15:F15"/>
    <mergeCell ref="I15:M15"/>
    <mergeCell ref="I16:M16"/>
    <mergeCell ref="I10:M10"/>
    <mergeCell ref="B3:M3"/>
    <mergeCell ref="B4:M4"/>
    <mergeCell ref="A9:B9"/>
    <mergeCell ref="D9:F9"/>
    <mergeCell ref="I9:M9"/>
  </mergeCells>
  <conditionalFormatting sqref="D79:F79">
    <cfRule type="cellIs" dxfId="32" priority="4" stopIfTrue="1" operator="equal">
      <formula>0</formula>
    </cfRule>
  </conditionalFormatting>
  <conditionalFormatting sqref="H39 O39">
    <cfRule type="cellIs" dxfId="31" priority="5" stopIfTrue="1" operator="equal">
      <formula>777</formula>
    </cfRule>
  </conditionalFormatting>
  <conditionalFormatting sqref="B37:C37 C39">
    <cfRule type="cellIs" dxfId="30" priority="6" stopIfTrue="1" operator="equal">
      <formula>"ERRO"</formula>
    </cfRule>
  </conditionalFormatting>
  <conditionalFormatting sqref="H70:H74">
    <cfRule type="cellIs" dxfId="29" priority="7" stopIfTrue="1" operator="equal">
      <formula>"ERRO"</formula>
    </cfRule>
    <cfRule type="cellIs" dxfId="28" priority="8" stopIfTrue="1" operator="equal">
      <formula>0</formula>
    </cfRule>
  </conditionalFormatting>
  <conditionalFormatting sqref="F76 F78">
    <cfRule type="cellIs" dxfId="27" priority="9" stopIfTrue="1" operator="equal">
      <formula>0</formula>
    </cfRule>
  </conditionalFormatting>
  <conditionalFormatting sqref="F24:F25 F27:F74">
    <cfRule type="cellIs" dxfId="26" priority="10" stopIfTrue="1" operator="equal">
      <formula>"Bloqueado"</formula>
    </cfRule>
  </conditionalFormatting>
  <conditionalFormatting sqref="F82:F90">
    <cfRule type="cellIs" dxfId="25" priority="11" stopIfTrue="1" operator="equal">
      <formula>0</formula>
    </cfRule>
    <cfRule type="cellIs" dxfId="24" priority="12" stopIfTrue="1" operator="equal">
      <formula>"Bloqueado"</formula>
    </cfRule>
  </conditionalFormatting>
  <conditionalFormatting sqref="F75">
    <cfRule type="cellIs" dxfId="23" priority="3" stopIfTrue="1" operator="equal">
      <formula>"Bloqueado"</formula>
    </cfRule>
  </conditionalFormatting>
  <conditionalFormatting sqref="F77">
    <cfRule type="cellIs" dxfId="22" priority="2" stopIfTrue="1" operator="equal">
      <formula>"Bloqueado"</formula>
    </cfRule>
  </conditionalFormatting>
  <conditionalFormatting sqref="F26">
    <cfRule type="cellIs" dxfId="21" priority="1" stopIfTrue="1" operator="equal">
      <formula>"Bloqueado"</formula>
    </cfRule>
  </conditionalFormatting>
  <printOptions horizontalCentered="1"/>
  <pageMargins left="0.39370078740157483" right="0.39370078740157483" top="0.98425196850393704" bottom="0.98425196850393704" header="0.51181102362204722" footer="0.51181102362204722"/>
  <pageSetup paperSize="9" scale="79" firstPageNumber="0" orientation="landscape" horizontalDpi="300" verticalDpi="300" r:id="rId1"/>
  <headerFooter alignWithMargins="0">
    <oddHeader xml:space="preserve">&amp;L&amp;G&amp;CTRIBUNAL DE JUSTIÇA DO ESTADO DO RIO DE JANEIRO 
CENTRAL DE ARQUIVAMENTO NUR1
</oddHeader>
    <oddFooter>&amp;LFRM-CARQ-002-01&amp;CREV.: 00                 Data: 20/04/2018 &amp;R&amp;P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12</vt:i4>
      </vt:variant>
      <vt:variant>
        <vt:lpstr>Intervalos nomeados</vt:lpstr>
      </vt:variant>
      <vt:variant>
        <vt:i4>16</vt:i4>
      </vt:variant>
    </vt:vector>
  </HeadingPairs>
  <TitlesOfParts>
    <vt:vector size="28" baseType="lpstr">
      <vt:lpstr>Atos Serv. Jud. Lei. 6369</vt:lpstr>
      <vt:lpstr>Atos Sec. Trib. Lei. 6369</vt:lpstr>
      <vt:lpstr>Rec. Esp. e Ext.</vt:lpstr>
      <vt:lpstr>GRERJ1</vt:lpstr>
      <vt:lpstr>GRERJ2</vt:lpstr>
      <vt:lpstr>GRERJ3</vt:lpstr>
      <vt:lpstr>GRERJ4</vt:lpstr>
      <vt:lpstr>GRERJ5</vt:lpstr>
      <vt:lpstr>GRERJFINAL</vt:lpstr>
      <vt:lpstr>Certidão</vt:lpstr>
      <vt:lpstr>Ato Ordinatório</vt:lpstr>
      <vt:lpstr>Plan1</vt:lpstr>
      <vt:lpstr>'Ato Ordinatório'!Area_de_impressao</vt:lpstr>
      <vt:lpstr>'Atos Serv. Jud. Lei. 6369'!Area_de_impressao</vt:lpstr>
      <vt:lpstr>Certidão!Area_de_impressao</vt:lpstr>
      <vt:lpstr>GRERJ2!Area_de_impressao</vt:lpstr>
      <vt:lpstr>GRERJ3!Area_de_impressao</vt:lpstr>
      <vt:lpstr>GRERJ4!Area_de_impressao</vt:lpstr>
      <vt:lpstr>GRERJ5!Area_de_impressao</vt:lpstr>
      <vt:lpstr>GRERJFINAL!Area_de_impressao</vt:lpstr>
      <vt:lpstr>'Rec. Esp. e Ext.'!Area_de_impressao</vt:lpstr>
      <vt:lpstr>GRERJ1!Titulos_de_impressao</vt:lpstr>
      <vt:lpstr>GRERJ2!Titulos_de_impressao</vt:lpstr>
      <vt:lpstr>GRERJ3!Titulos_de_impressao</vt:lpstr>
      <vt:lpstr>GRERJ4!Titulos_de_impressao</vt:lpstr>
      <vt:lpstr>GRERJ5!Titulos_de_impressao</vt:lpstr>
      <vt:lpstr>GRERJFINAL!Titulos_de_impressao</vt:lpstr>
      <vt:lpstr>'Rec. Esp. e Ext.'!Titulos_de_impressao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Alves dos Reis</dc:creator>
  <cp:lastModifiedBy>Daiana da Silva Bernardo</cp:lastModifiedBy>
  <cp:revision/>
  <cp:lastPrinted>2018-04-19T13:32:01Z</cp:lastPrinted>
  <dcterms:created xsi:type="dcterms:W3CDTF">2016-01-19T21:40:54Z</dcterms:created>
  <dcterms:modified xsi:type="dcterms:W3CDTF">2018-04-19T13:41:56Z</dcterms:modified>
</cp:coreProperties>
</file>